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MattiasLindström\Dropbox (LYNGSON Group)\Teknikavdelning\Effektsnurror\"/>
    </mc:Choice>
  </mc:AlternateContent>
  <xr:revisionPtr revIDLastSave="0" documentId="13_ncr:1_{961693B4-0A33-49EA-AE36-C82F8B597D30}" xr6:coauthVersionLast="45" xr6:coauthVersionMax="45" xr10:uidLastSave="{00000000-0000-0000-0000-000000000000}"/>
  <workbookProtection workbookAlgorithmName="SHA-512" workbookHashValue="E3il372bWIGe7N3I4cowuspqcSpLYzQNzlDEhzNjS55+BCRANAlHaotguGDtdQRpqbCQIl4FKFVGV77iroE1NA==" workbookSaltValue="oKk/rnmRAH4dJoKK1gEN1Q==" workbookSpinCount="100000" lockStructure="1"/>
  <bookViews>
    <workbookView xWindow="28680" yWindow="-120" windowWidth="29040" windowHeight="15840" xr2:uid="{00000000-000D-0000-FFFF-FFFF00000000}"/>
  </bookViews>
  <sheets>
    <sheet name="Quatro Canal" sheetId="8" r:id="rId1"/>
    <sheet name="NL" sheetId="9" r:id="rId2"/>
    <sheet name="EN" sheetId="11" r:id="rId3"/>
    <sheet name="DE" sheetId="12" r:id="rId4"/>
    <sheet name="FR" sheetId="10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44" i="10" l="1"/>
  <c r="M44" i="12"/>
  <c r="M44" i="11"/>
  <c r="M44" i="9"/>
  <c r="J42" i="8" l="1"/>
  <c r="J41" i="8"/>
  <c r="J40" i="8"/>
  <c r="J39" i="8"/>
  <c r="J38" i="8"/>
  <c r="J35" i="8"/>
  <c r="J34" i="8"/>
  <c r="J33" i="8"/>
  <c r="J32" i="8"/>
  <c r="J31" i="8"/>
  <c r="J28" i="8"/>
  <c r="J27" i="8"/>
  <c r="J26" i="8"/>
  <c r="J25" i="8"/>
  <c r="J24" i="8"/>
  <c r="J21" i="8"/>
  <c r="J20" i="8"/>
  <c r="J19" i="8"/>
  <c r="J18" i="8"/>
  <c r="J17" i="8"/>
  <c r="F42" i="8" l="1"/>
  <c r="G42" i="8" s="1"/>
  <c r="H42" i="8" s="1"/>
  <c r="I42" i="8" s="1"/>
  <c r="C42" i="8"/>
  <c r="D42" i="8" s="1"/>
  <c r="E42" i="8" s="1"/>
  <c r="F41" i="8"/>
  <c r="G41" i="8" s="1"/>
  <c r="H41" i="8" s="1"/>
  <c r="I41" i="8" s="1"/>
  <c r="C41" i="8"/>
  <c r="D41" i="8" s="1"/>
  <c r="E41" i="8" s="1"/>
  <c r="F40" i="8"/>
  <c r="G40" i="8" s="1"/>
  <c r="H40" i="8" s="1"/>
  <c r="I40" i="8" s="1"/>
  <c r="C40" i="8"/>
  <c r="D40" i="8" s="1"/>
  <c r="E40" i="8" s="1"/>
  <c r="F39" i="8"/>
  <c r="G39" i="8" s="1"/>
  <c r="H39" i="8" s="1"/>
  <c r="I39" i="8" s="1"/>
  <c r="C39" i="8"/>
  <c r="D39" i="8" s="1"/>
  <c r="E39" i="8" s="1"/>
  <c r="F38" i="8"/>
  <c r="G38" i="8" s="1"/>
  <c r="H38" i="8" s="1"/>
  <c r="I38" i="8" s="1"/>
  <c r="C38" i="8"/>
  <c r="D38" i="8" s="1"/>
  <c r="E38" i="8" s="1"/>
  <c r="F35" i="8"/>
  <c r="G35" i="8" s="1"/>
  <c r="H35" i="8" s="1"/>
  <c r="I35" i="8" s="1"/>
  <c r="C35" i="8"/>
  <c r="D35" i="8" s="1"/>
  <c r="E35" i="8" s="1"/>
  <c r="F34" i="8"/>
  <c r="G34" i="8" s="1"/>
  <c r="H34" i="8" s="1"/>
  <c r="I34" i="8" s="1"/>
  <c r="C34" i="8"/>
  <c r="D34" i="8" s="1"/>
  <c r="E34" i="8" s="1"/>
  <c r="F33" i="8"/>
  <c r="G33" i="8" s="1"/>
  <c r="H33" i="8" s="1"/>
  <c r="I33" i="8" s="1"/>
  <c r="C33" i="8"/>
  <c r="D33" i="8" s="1"/>
  <c r="E33" i="8" s="1"/>
  <c r="F32" i="8"/>
  <c r="G32" i="8" s="1"/>
  <c r="H32" i="8" s="1"/>
  <c r="I32" i="8" s="1"/>
  <c r="C32" i="8"/>
  <c r="D32" i="8" s="1"/>
  <c r="E32" i="8" s="1"/>
  <c r="F31" i="8"/>
  <c r="G31" i="8" s="1"/>
  <c r="H31" i="8" s="1"/>
  <c r="I31" i="8" s="1"/>
  <c r="C31" i="8"/>
  <c r="D31" i="8" s="1"/>
  <c r="E31" i="8" s="1"/>
  <c r="F28" i="8"/>
  <c r="G28" i="8" s="1"/>
  <c r="H28" i="8" s="1"/>
  <c r="I28" i="8" s="1"/>
  <c r="C28" i="8"/>
  <c r="D28" i="8" s="1"/>
  <c r="E28" i="8" s="1"/>
  <c r="F27" i="8"/>
  <c r="G27" i="8" s="1"/>
  <c r="H27" i="8" s="1"/>
  <c r="I27" i="8" s="1"/>
  <c r="C27" i="8"/>
  <c r="D27" i="8" s="1"/>
  <c r="E27" i="8" s="1"/>
  <c r="F26" i="8"/>
  <c r="G26" i="8" s="1"/>
  <c r="H26" i="8" s="1"/>
  <c r="I26" i="8" s="1"/>
  <c r="C26" i="8"/>
  <c r="D26" i="8" s="1"/>
  <c r="E26" i="8" s="1"/>
  <c r="F25" i="8"/>
  <c r="G25" i="8" s="1"/>
  <c r="H25" i="8" s="1"/>
  <c r="I25" i="8" s="1"/>
  <c r="C25" i="8"/>
  <c r="D25" i="8" s="1"/>
  <c r="E25" i="8" s="1"/>
  <c r="F24" i="8"/>
  <c r="G24" i="8" s="1"/>
  <c r="H24" i="8" s="1"/>
  <c r="I24" i="8" s="1"/>
  <c r="C24" i="8"/>
  <c r="D24" i="8" s="1"/>
  <c r="E24" i="8" s="1"/>
  <c r="F21" i="8"/>
  <c r="G21" i="8" s="1"/>
  <c r="H21" i="8" s="1"/>
  <c r="I21" i="8" s="1"/>
  <c r="C21" i="8"/>
  <c r="D21" i="8" s="1"/>
  <c r="E21" i="8" s="1"/>
  <c r="F20" i="8"/>
  <c r="G20" i="8" s="1"/>
  <c r="H20" i="8" s="1"/>
  <c r="I20" i="8" s="1"/>
  <c r="C20" i="8"/>
  <c r="D20" i="8" s="1"/>
  <c r="E20" i="8" s="1"/>
  <c r="F19" i="8"/>
  <c r="G19" i="8" s="1"/>
  <c r="H19" i="8" s="1"/>
  <c r="I19" i="8" s="1"/>
  <c r="C19" i="8"/>
  <c r="D19" i="8" s="1"/>
  <c r="E19" i="8" s="1"/>
  <c r="F18" i="8"/>
  <c r="G18" i="8" s="1"/>
  <c r="H18" i="8" s="1"/>
  <c r="I18" i="8" s="1"/>
  <c r="C18" i="8"/>
  <c r="D18" i="8" s="1"/>
  <c r="E18" i="8" s="1"/>
  <c r="F17" i="8"/>
  <c r="G17" i="8" s="1"/>
  <c r="H17" i="8" s="1"/>
  <c r="I17" i="8" s="1"/>
  <c r="C17" i="8"/>
  <c r="D17" i="8" s="1"/>
  <c r="E17" i="8" s="1"/>
  <c r="J11" i="10" l="1"/>
  <c r="J10" i="10"/>
  <c r="J9" i="10"/>
  <c r="J8" i="10"/>
  <c r="D10" i="10"/>
  <c r="D9" i="10"/>
  <c r="D8" i="10"/>
  <c r="J11" i="12"/>
  <c r="J10" i="12"/>
  <c r="J9" i="12"/>
  <c r="J8" i="12"/>
  <c r="D10" i="12"/>
  <c r="D9" i="12"/>
  <c r="D8" i="12"/>
  <c r="J11" i="11"/>
  <c r="J10" i="11"/>
  <c r="J9" i="11"/>
  <c r="J8" i="11"/>
  <c r="D10" i="11"/>
  <c r="D9" i="11"/>
  <c r="D8" i="11"/>
  <c r="J11" i="9"/>
  <c r="J10" i="9"/>
  <c r="J9" i="9"/>
  <c r="J8" i="9"/>
  <c r="D10" i="9"/>
  <c r="D9" i="9"/>
  <c r="D8" i="9"/>
  <c r="G15" i="10" l="1"/>
  <c r="F15" i="10"/>
  <c r="F15" i="12"/>
  <c r="C15" i="12"/>
  <c r="F15" i="11"/>
  <c r="C15" i="11"/>
  <c r="F15" i="9"/>
  <c r="C15" i="9"/>
  <c r="C15" i="10"/>
  <c r="A46" i="8" l="1"/>
  <c r="A45" i="8"/>
  <c r="A44" i="8"/>
  <c r="M37" i="8"/>
  <c r="L37" i="8"/>
  <c r="K37" i="8"/>
  <c r="J37" i="8"/>
  <c r="I37" i="8"/>
  <c r="H37" i="8"/>
  <c r="G37" i="8"/>
  <c r="F37" i="8"/>
  <c r="E37" i="8"/>
  <c r="D37" i="8"/>
  <c r="C37" i="8"/>
  <c r="B37" i="8"/>
  <c r="A37" i="8"/>
  <c r="M30" i="8"/>
  <c r="L30" i="8"/>
  <c r="K30" i="8"/>
  <c r="J30" i="8"/>
  <c r="I30" i="8"/>
  <c r="H30" i="8"/>
  <c r="G30" i="8"/>
  <c r="F30" i="8"/>
  <c r="E30" i="8"/>
  <c r="D30" i="8"/>
  <c r="C30" i="8"/>
  <c r="B30" i="8"/>
  <c r="A30" i="8"/>
  <c r="M23" i="8"/>
  <c r="L23" i="8"/>
  <c r="K23" i="8"/>
  <c r="J23" i="8"/>
  <c r="I23" i="8"/>
  <c r="H23" i="8"/>
  <c r="G23" i="8"/>
  <c r="F23" i="8"/>
  <c r="E23" i="8"/>
  <c r="D23" i="8"/>
  <c r="C23" i="8"/>
  <c r="B23" i="8"/>
  <c r="A23" i="8"/>
  <c r="M16" i="8"/>
  <c r="L16" i="8"/>
  <c r="K16" i="8"/>
  <c r="J16" i="8"/>
  <c r="I16" i="8"/>
  <c r="H16" i="8"/>
  <c r="G16" i="8"/>
  <c r="F16" i="8"/>
  <c r="E16" i="8"/>
  <c r="D16" i="8"/>
  <c r="C16" i="8"/>
  <c r="B16" i="8"/>
  <c r="A16" i="8"/>
  <c r="M15" i="8"/>
  <c r="L15" i="8"/>
  <c r="K15" i="8"/>
  <c r="J15" i="8"/>
  <c r="I15" i="8"/>
  <c r="H15" i="8"/>
  <c r="F15" i="8"/>
  <c r="E15" i="8"/>
  <c r="D15" i="8"/>
  <c r="C15" i="8"/>
  <c r="B15" i="8"/>
  <c r="A15" i="8"/>
  <c r="A4" i="8"/>
  <c r="A2" i="8"/>
  <c r="F11" i="8"/>
  <c r="I10" i="8"/>
  <c r="H10" i="8"/>
  <c r="G10" i="8"/>
  <c r="F10" i="8"/>
  <c r="I9" i="8"/>
  <c r="H9" i="8"/>
  <c r="G9" i="8"/>
  <c r="F9" i="8"/>
  <c r="I8" i="8"/>
  <c r="H8" i="8"/>
  <c r="G8" i="8"/>
  <c r="F8" i="8"/>
  <c r="F7" i="8"/>
  <c r="C10" i="8"/>
  <c r="B10" i="8"/>
  <c r="A10" i="8"/>
  <c r="C9" i="8"/>
  <c r="B9" i="8"/>
  <c r="A9" i="8"/>
  <c r="C8" i="8"/>
  <c r="B8" i="8"/>
  <c r="A8" i="8"/>
  <c r="A7" i="8"/>
  <c r="A6" i="8"/>
  <c r="B22" i="12" l="1"/>
  <c r="M43" i="12" s="1"/>
  <c r="G15" i="12"/>
  <c r="G15" i="11"/>
  <c r="G15" i="9"/>
  <c r="G15" i="8" s="1"/>
  <c r="B22" i="11"/>
  <c r="M43" i="11" s="1"/>
  <c r="C43" i="10"/>
  <c r="D43" i="10" s="1"/>
  <c r="E43" i="10" s="1"/>
  <c r="L29" i="10"/>
  <c r="L22" i="10"/>
  <c r="B22" i="10"/>
  <c r="M43" i="10" s="1"/>
  <c r="B29" i="9"/>
  <c r="K22" i="9"/>
  <c r="B22" i="9"/>
  <c r="F22" i="9" s="1"/>
  <c r="H22" i="9" s="1"/>
  <c r="I22" i="9" s="1"/>
  <c r="C22" i="9"/>
  <c r="D22" i="9" s="1"/>
  <c r="E22" i="9" s="1"/>
  <c r="F36" i="10" l="1"/>
  <c r="H36" i="10" s="1"/>
  <c r="I36" i="10" s="1"/>
  <c r="K22" i="12"/>
  <c r="K22" i="10"/>
  <c r="M36" i="10"/>
  <c r="L22" i="12"/>
  <c r="K36" i="12"/>
  <c r="B36" i="12"/>
  <c r="B43" i="11"/>
  <c r="L22" i="11"/>
  <c r="C29" i="10"/>
  <c r="D29" i="10" s="1"/>
  <c r="E29" i="10" s="1"/>
  <c r="K36" i="10"/>
  <c r="B43" i="10"/>
  <c r="L29" i="11"/>
  <c r="C22" i="10"/>
  <c r="D22" i="10" s="1"/>
  <c r="E22" i="10" s="1"/>
  <c r="J29" i="10"/>
  <c r="B36" i="10"/>
  <c r="L43" i="10"/>
  <c r="B36" i="11"/>
  <c r="J29" i="12"/>
  <c r="C43" i="12"/>
  <c r="D43" i="12" s="1"/>
  <c r="E43" i="12" s="1"/>
  <c r="L29" i="12"/>
  <c r="B43" i="12"/>
  <c r="M36" i="11"/>
  <c r="M22" i="12"/>
  <c r="M29" i="12"/>
  <c r="J36" i="12"/>
  <c r="J43" i="12"/>
  <c r="M22" i="11"/>
  <c r="M29" i="11"/>
  <c r="J36" i="11"/>
  <c r="J43" i="11"/>
  <c r="K29" i="9"/>
  <c r="C22" i="11"/>
  <c r="D22" i="11" s="1"/>
  <c r="E22" i="11" s="1"/>
  <c r="C29" i="11"/>
  <c r="D29" i="11" s="1"/>
  <c r="E29" i="11" s="1"/>
  <c r="F36" i="11"/>
  <c r="H36" i="11" s="1"/>
  <c r="I36" i="11" s="1"/>
  <c r="L43" i="11"/>
  <c r="M22" i="10"/>
  <c r="M29" i="10"/>
  <c r="J36" i="10"/>
  <c r="J43" i="10"/>
  <c r="K22" i="11"/>
  <c r="J29" i="11"/>
  <c r="K36" i="11"/>
  <c r="C43" i="11"/>
  <c r="D43" i="11" s="1"/>
  <c r="E43" i="11" s="1"/>
  <c r="C22" i="12"/>
  <c r="D22" i="12" s="1"/>
  <c r="E22" i="12" s="1"/>
  <c r="C29" i="12"/>
  <c r="D29" i="12" s="1"/>
  <c r="E29" i="12" s="1"/>
  <c r="F36" i="12"/>
  <c r="H36" i="12" s="1"/>
  <c r="I36" i="12" s="1"/>
  <c r="M36" i="12"/>
  <c r="L43" i="12"/>
  <c r="F43" i="12"/>
  <c r="H43" i="12" s="1"/>
  <c r="I43" i="12" s="1"/>
  <c r="K43" i="12"/>
  <c r="F22" i="12"/>
  <c r="J22" i="12"/>
  <c r="B29" i="12"/>
  <c r="F29" i="12"/>
  <c r="H29" i="12" s="1"/>
  <c r="I29" i="12" s="1"/>
  <c r="K29" i="12"/>
  <c r="C36" i="12"/>
  <c r="D36" i="12" s="1"/>
  <c r="E36" i="12" s="1"/>
  <c r="L36" i="12"/>
  <c r="F43" i="11"/>
  <c r="H43" i="11" s="1"/>
  <c r="I43" i="11" s="1"/>
  <c r="K43" i="11"/>
  <c r="F22" i="11"/>
  <c r="J22" i="11"/>
  <c r="B29" i="11"/>
  <c r="F29" i="11"/>
  <c r="H29" i="11" s="1"/>
  <c r="I29" i="11" s="1"/>
  <c r="K29" i="11"/>
  <c r="C36" i="11"/>
  <c r="D36" i="11" s="1"/>
  <c r="E36" i="11" s="1"/>
  <c r="L36" i="11"/>
  <c r="F43" i="10"/>
  <c r="H43" i="10" s="1"/>
  <c r="I43" i="10" s="1"/>
  <c r="K43" i="10"/>
  <c r="F22" i="10"/>
  <c r="J22" i="10"/>
  <c r="B29" i="10"/>
  <c r="F29" i="10"/>
  <c r="H29" i="10" s="1"/>
  <c r="I29" i="10" s="1"/>
  <c r="K29" i="10"/>
  <c r="C36" i="10"/>
  <c r="D36" i="10" s="1"/>
  <c r="E36" i="10" s="1"/>
  <c r="L36" i="10"/>
  <c r="G22" i="9"/>
  <c r="M43" i="9"/>
  <c r="L36" i="9"/>
  <c r="C36" i="9"/>
  <c r="D36" i="9" s="1"/>
  <c r="E36" i="9" s="1"/>
  <c r="L43" i="9"/>
  <c r="C43" i="9"/>
  <c r="D43" i="9" s="1"/>
  <c r="E43" i="9" s="1"/>
  <c r="K36" i="9"/>
  <c r="F36" i="9"/>
  <c r="H36" i="9" s="1"/>
  <c r="I36" i="9" s="1"/>
  <c r="B36" i="9"/>
  <c r="J29" i="9"/>
  <c r="M22" i="9"/>
  <c r="K43" i="9"/>
  <c r="F43" i="9"/>
  <c r="H43" i="9" s="1"/>
  <c r="I43" i="9" s="1"/>
  <c r="B43" i="9"/>
  <c r="J36" i="9"/>
  <c r="M29" i="9"/>
  <c r="L22" i="9"/>
  <c r="J43" i="9"/>
  <c r="M36" i="9"/>
  <c r="L29" i="9"/>
  <c r="C29" i="9"/>
  <c r="D29" i="9" s="1"/>
  <c r="E29" i="9" s="1"/>
  <c r="J22" i="9"/>
  <c r="F29" i="9"/>
  <c r="H29" i="9" s="1"/>
  <c r="I29" i="9" s="1"/>
  <c r="H22" i="12" l="1"/>
  <c r="I22" i="12" s="1"/>
  <c r="G22" i="12"/>
  <c r="H22" i="11"/>
  <c r="I22" i="11" s="1"/>
  <c r="G22" i="11"/>
  <c r="H22" i="10"/>
  <c r="I22" i="10" s="1"/>
  <c r="G22" i="10"/>
  <c r="B22" i="8" l="1"/>
  <c r="M43" i="8" s="1"/>
  <c r="J29" i="8" l="1"/>
  <c r="J22" i="8"/>
  <c r="L29" i="8"/>
  <c r="K29" i="8"/>
  <c r="L36" i="8"/>
  <c r="B29" i="8"/>
  <c r="M36" i="8"/>
  <c r="C29" i="8"/>
  <c r="D29" i="8" s="1"/>
  <c r="E29" i="8" s="1"/>
  <c r="F43" i="8"/>
  <c r="H43" i="8" s="1"/>
  <c r="I43" i="8" s="1"/>
  <c r="K22" i="8"/>
  <c r="M29" i="8"/>
  <c r="F36" i="8"/>
  <c r="H36" i="8" s="1"/>
  <c r="I36" i="8" s="1"/>
  <c r="C22" i="8"/>
  <c r="D22" i="8" s="1"/>
  <c r="E22" i="8" s="1"/>
  <c r="L22" i="8"/>
  <c r="J43" i="8"/>
  <c r="M22" i="8"/>
  <c r="F29" i="8"/>
  <c r="H29" i="8" s="1"/>
  <c r="I29" i="8" s="1"/>
  <c r="B43" i="8"/>
  <c r="K43" i="8"/>
  <c r="J36" i="8"/>
  <c r="C43" i="8"/>
  <c r="D43" i="8" s="1"/>
  <c r="E43" i="8" s="1"/>
  <c r="L43" i="8"/>
  <c r="C36" i="8"/>
  <c r="D36" i="8" s="1"/>
  <c r="E36" i="8" s="1"/>
  <c r="F22" i="8"/>
  <c r="B36" i="8"/>
  <c r="K36" i="8"/>
  <c r="H22" i="8" l="1"/>
  <c r="I22" i="8" s="1"/>
  <c r="G22" i="8"/>
</calcChain>
</file>

<file path=xl/sharedStrings.xml><?xml version="1.0" encoding="utf-8"?>
<sst xmlns="http://schemas.openxmlformats.org/spreadsheetml/2006/main" count="182" uniqueCount="110">
  <si>
    <t>Vorlauftemp. [°C]</t>
  </si>
  <si>
    <t>Raumtemp. [°C]</t>
  </si>
  <si>
    <t>Drehzahlstufe:</t>
  </si>
  <si>
    <t>Regelspannung: [V]</t>
  </si>
  <si>
    <t>Luftvolumenstrom [m³/h]</t>
  </si>
  <si>
    <t>Heizmittelstrom [l/h]</t>
  </si>
  <si>
    <t>Heizen:</t>
  </si>
  <si>
    <t>Kühlmittelstrom [l/h]</t>
  </si>
  <si>
    <t>Rücklauftemp. [°C]</t>
  </si>
  <si>
    <t>Eingabefelder</t>
  </si>
  <si>
    <t>Temperaturen</t>
  </si>
  <si>
    <t>Auslegungsrandbedingungen</t>
  </si>
  <si>
    <t>Spezifische Lüfterdrehzahl [%]</t>
  </si>
  <si>
    <t xml:space="preserve"> (Spez.)</t>
  </si>
  <si>
    <t>Spez.**</t>
  </si>
  <si>
    <t>Leistungsaufnahme [W]</t>
  </si>
  <si>
    <t>zug. wassers. Druckverlust [kPa]</t>
  </si>
  <si>
    <t>2-Leiter</t>
  </si>
  <si>
    <t>System:</t>
  </si>
  <si>
    <t>**Schallleistungspegel nach ISO 3741:2010</t>
  </si>
  <si>
    <t>***Schalldruckpegel bei angenommener Raumdämpfung von 8dB(A)</t>
  </si>
  <si>
    <t>Schalldruckpegel *** [dB(A)]</t>
  </si>
  <si>
    <t>Kühlen:</t>
  </si>
  <si>
    <t>n-value</t>
  </si>
  <si>
    <t>Verwarmen:</t>
  </si>
  <si>
    <t>Koelen:</t>
  </si>
  <si>
    <t>Aanvoertemp. [°C]</t>
  </si>
  <si>
    <t>Retourtemp. [°C]</t>
  </si>
  <si>
    <t>Ruimtetemp. [°C]</t>
  </si>
  <si>
    <t>Stuurspanning: [V]</t>
  </si>
  <si>
    <t>Geluidsdruk *** [dB(A)]</t>
  </si>
  <si>
    <t>Luchtdebiet [m³/h]</t>
  </si>
  <si>
    <t>Opgenomen elektr. vermogen [W]</t>
  </si>
  <si>
    <t>Waterdebiet, koeling [l/h]</t>
  </si>
  <si>
    <t>Waterdebiet, verwarming [l/h]</t>
  </si>
  <si>
    <t>Snelheidsniveau:</t>
  </si>
  <si>
    <t>Randvoorwaarden</t>
  </si>
  <si>
    <t>Invulformulier</t>
  </si>
  <si>
    <t>**Geluidsvermogen gemeten volgens ISO 3741:2010</t>
  </si>
  <si>
    <t>***Geluidsdruk bij een aangenomen ruimtedemping van 8 dB(A)</t>
  </si>
  <si>
    <t>Temperatures</t>
  </si>
  <si>
    <t>Heating:</t>
  </si>
  <si>
    <t>Cooling:</t>
  </si>
  <si>
    <t>Inlet temp. [°C]</t>
  </si>
  <si>
    <t>Return temp. [°C]</t>
  </si>
  <si>
    <t>Room temp. [°C]</t>
  </si>
  <si>
    <t>Speed level:</t>
  </si>
  <si>
    <t>Control voltage [V]</t>
  </si>
  <si>
    <t>Water flowrate, heating [l/h]</t>
  </si>
  <si>
    <t>Water flowrate, cooling [l/h]</t>
  </si>
  <si>
    <t>Sound pressure *** [dB(A)]</t>
  </si>
  <si>
    <t>Electrical power [W]</t>
  </si>
  <si>
    <t>Air flowrate [m³/h]</t>
  </si>
  <si>
    <t>**Sound power according to ISO 3741:2010</t>
  </si>
  <si>
    <t>***Sound pressure with an assumed room damping of 8dB(A)</t>
  </si>
  <si>
    <t>Watersided pressure loss [kPa]</t>
  </si>
  <si>
    <t>Waterzijdig drukverlies [kPa]</t>
  </si>
  <si>
    <t>Conditions</t>
  </si>
  <si>
    <t>Temp. retour [°C]</t>
  </si>
  <si>
    <t>Niveau de vitesse</t>
  </si>
  <si>
    <t>rel. Luftf. [%]</t>
  </si>
  <si>
    <t>rel. humid. [%]</t>
  </si>
  <si>
    <t>rel. vocht. [%]</t>
  </si>
  <si>
    <t>EN</t>
  </si>
  <si>
    <t>NL</t>
  </si>
  <si>
    <t>DE</t>
  </si>
  <si>
    <t>FR</t>
  </si>
  <si>
    <t>Taal/language/Sprache/Langue</t>
  </si>
  <si>
    <t>Formulary</t>
  </si>
  <si>
    <t>Formulaire</t>
  </si>
  <si>
    <t>Voltage [V]</t>
  </si>
  <si>
    <t>Refroidir:</t>
  </si>
  <si>
    <t>Pression sonore *** [dB(A)]</t>
  </si>
  <si>
    <t>Puissance absorbée [W]</t>
  </si>
  <si>
    <t>Débit d'air [m³/h]</t>
  </si>
  <si>
    <t>Débit d'eau, refroidir [l/h]</t>
  </si>
  <si>
    <t>Puissance sonore ** [dB(A)]</t>
  </si>
  <si>
    <t>Perte de charge [kPa]</t>
  </si>
  <si>
    <t>**Puissance sonore testé selon ISO 3741:2010</t>
  </si>
  <si>
    <t>***Pression sonore avec une atténuation ambiante du 8dB(A)</t>
  </si>
  <si>
    <t>Geluidsvermogen ** [dB(A)]</t>
  </si>
  <si>
    <t>Sound power ** [dB(A)]</t>
  </si>
  <si>
    <t>Schallleistungspegel ** [dB(A)]</t>
  </si>
  <si>
    <t>*Leistungsangaben nach EN 16430</t>
  </si>
  <si>
    <t>*Testé selon EN 16430</t>
  </si>
  <si>
    <t>*Values according to EN 16430</t>
  </si>
  <si>
    <t>*Waardes gemeten volgens EN 16430</t>
  </si>
  <si>
    <t>Temp. ambiante [°C]</t>
  </si>
  <si>
    <t>Températures</t>
  </si>
  <si>
    <t>Chauffer:</t>
  </si>
  <si>
    <t>Temp. entrée [°C]</t>
  </si>
  <si>
    <t>hum. rel. [%]</t>
  </si>
  <si>
    <t>Débit d'eau, chauffer [l/h]</t>
  </si>
  <si>
    <t>Quatro Canal Hoogte 13,0cm Breedte 27cm  Lengte 79,8cm (Type 1)</t>
  </si>
  <si>
    <t>Quatro Canal Hoogte 13,0cm Breedte 27cm Lengte 108,3cm (Type 2)</t>
  </si>
  <si>
    <t>Quatro Canal Hoogte 13,0cm Breedte 27cm Lengte 160,8cm (Type 3)</t>
  </si>
  <si>
    <t>Quatro Canal Hoogte 13,0cm Breedte 27cm Lengte 180,3cm (Type 4)</t>
  </si>
  <si>
    <t>Quatro Canal Height 13,0cm Width 27cm  Length 79,8cm (Type 1)</t>
  </si>
  <si>
    <t>Quatro Canal Height 13,0cm Width 27cm Length 160,8cm (Type 3)</t>
  </si>
  <si>
    <t>Quatro Canal Height 13,0cm Width 27cm Length 180,3cm (Type 4)</t>
  </si>
  <si>
    <t>Quatro Canal Höhe 13,0cm Breite 27cm  Länge 79,8cm (Typ 1)</t>
  </si>
  <si>
    <t>Quatro Canal Hauteur 13,0cm Largeur 18cm  Longueur 79,8cm (Type 1)</t>
  </si>
  <si>
    <t>Quatro Canal Height 13,0cm Width 27cm Length 108,3cm (Type 2)</t>
  </si>
  <si>
    <t>Quatro Canal Höhe 13,0cm Breite 27cm Länge 108,3cm (Typ 2)</t>
  </si>
  <si>
    <t>Quatro Canal Höhe 13,0cm Breite 27cm Länge 160,3cm (Typ 3)</t>
  </si>
  <si>
    <t>Quatro Canal Höhe 13,0cm Breite 27cm Länge 180,3cm (Typ 4)</t>
  </si>
  <si>
    <t>Quatro Canal Hauteur 13,0cm Largeur 18cm Longueur 108,3cm (Type 2)</t>
  </si>
  <si>
    <t>Quatro Canal Hauteur 13,0cm Largeur 18cm Longueur 160,3cm (Type 3)</t>
  </si>
  <si>
    <t>Quatro Canal Hauteur 13,0cm Largeur 18cm Longueur 180,3cm (Type 4)</t>
  </si>
  <si>
    <t>v11-10-2017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</si>
</sst>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7" tint="0.79998168889431442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0" tint="-0.249977111117893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0" tint="-0.34998626667073579"/>
      </right>
      <top/>
      <bottom style="thin">
        <color theme="6"/>
      </bottom>
      <diagonal/>
    </border>
    <border>
      <left/>
      <right/>
      <top style="thin">
        <color theme="6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6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 wrapText="1"/>
    </xf>
    <xf numFmtId="0" fontId="0" fillId="2" borderId="0" xfId="0" applyFill="1" applyBorder="1"/>
    <xf numFmtId="0" fontId="0" fillId="2" borderId="0" xfId="0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0" fontId="2" fillId="2" borderId="0" xfId="0" applyFont="1" applyFill="1" applyBorder="1"/>
    <xf numFmtId="0" fontId="0" fillId="3" borderId="0" xfId="0" applyFill="1" applyBorder="1"/>
    <xf numFmtId="0" fontId="1" fillId="3" borderId="0" xfId="0" applyFont="1" applyFill="1" applyBorder="1"/>
    <xf numFmtId="0" fontId="1" fillId="3" borderId="2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1" fillId="3" borderId="5" xfId="0" applyFont="1" applyFill="1" applyBorder="1"/>
    <xf numFmtId="0" fontId="0" fillId="3" borderId="6" xfId="0" applyFill="1" applyBorder="1"/>
    <xf numFmtId="0" fontId="0" fillId="3" borderId="5" xfId="0" applyFill="1" applyBorder="1"/>
    <xf numFmtId="0" fontId="1" fillId="3" borderId="7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0" fillId="3" borderId="8" xfId="0" applyFill="1" applyBorder="1"/>
    <xf numFmtId="0" fontId="0" fillId="3" borderId="9" xfId="0" applyFill="1" applyBorder="1"/>
    <xf numFmtId="0" fontId="1" fillId="3" borderId="0" xfId="0" applyFont="1" applyFill="1" applyBorder="1" applyAlignment="1">
      <alignment horizontal="center" vertical="center" textRotation="90" wrapText="1"/>
    </xf>
    <xf numFmtId="0" fontId="3" fillId="3" borderId="0" xfId="0" applyFont="1" applyFill="1" applyBorder="1" applyAlignment="1">
      <alignment horizontal="center" vertical="center" textRotation="90" wrapText="1"/>
    </xf>
    <xf numFmtId="0" fontId="1" fillId="2" borderId="0" xfId="0" applyFont="1" applyFill="1" applyBorder="1"/>
    <xf numFmtId="49" fontId="7" fillId="4" borderId="10" xfId="0" applyNumberFormat="1" applyFont="1" applyFill="1" applyBorder="1"/>
    <xf numFmtId="0" fontId="8" fillId="4" borderId="1" xfId="0" applyFont="1" applyFill="1" applyBorder="1" applyAlignment="1">
      <alignment horizontal="left"/>
    </xf>
    <xf numFmtId="0" fontId="0" fillId="2" borderId="8" xfId="0" applyFill="1" applyBorder="1"/>
    <xf numFmtId="0" fontId="1" fillId="3" borderId="4" xfId="0" applyFont="1" applyFill="1" applyBorder="1" applyAlignment="1">
      <alignment horizontal="center" vertical="center" textRotation="90" wrapText="1"/>
    </xf>
    <xf numFmtId="0" fontId="1" fillId="3" borderId="2" xfId="0" applyFont="1" applyFill="1" applyBorder="1" applyAlignment="1">
      <alignment horizontal="center" vertical="center" textRotation="90" wrapText="1"/>
    </xf>
    <xf numFmtId="0" fontId="6" fillId="2" borderId="11" xfId="0" applyFont="1" applyFill="1" applyBorder="1"/>
    <xf numFmtId="1" fontId="6" fillId="2" borderId="12" xfId="0" applyNumberFormat="1" applyFont="1" applyFill="1" applyBorder="1" applyAlignment="1">
      <alignment horizontal="center" vertical="center"/>
    </xf>
    <xf numFmtId="2" fontId="6" fillId="2" borderId="12" xfId="0" applyNumberFormat="1" applyFont="1" applyFill="1" applyBorder="1" applyAlignment="1">
      <alignment horizontal="center" vertical="center"/>
    </xf>
    <xf numFmtId="164" fontId="6" fillId="2" borderId="12" xfId="0" applyNumberFormat="1" applyFont="1" applyFill="1" applyBorder="1" applyAlignment="1">
      <alignment horizontal="center" vertical="center"/>
    </xf>
    <xf numFmtId="1" fontId="6" fillId="2" borderId="13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1" fontId="0" fillId="2" borderId="5" xfId="0" applyNumberFormat="1" applyFill="1" applyBorder="1" applyAlignment="1">
      <alignment horizontal="center" vertical="center"/>
    </xf>
    <xf numFmtId="1" fontId="6" fillId="2" borderId="11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0" fontId="9" fillId="3" borderId="0" xfId="0" applyFont="1" applyFill="1" applyBorder="1"/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1" fillId="3" borderId="3" xfId="0" applyFont="1" applyFill="1" applyBorder="1" applyAlignment="1">
      <alignment horizontal="center" vertical="center" textRotation="90" wrapText="1"/>
    </xf>
    <xf numFmtId="2" fontId="6" fillId="2" borderId="13" xfId="0" applyNumberFormat="1" applyFont="1" applyFill="1" applyBorder="1" applyAlignment="1">
      <alignment horizontal="center" vertical="center"/>
    </xf>
    <xf numFmtId="2" fontId="0" fillId="2" borderId="6" xfId="0" applyNumberForma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textRotation="90" wrapText="1"/>
    </xf>
    <xf numFmtId="0" fontId="3" fillId="3" borderId="4" xfId="0" applyFont="1" applyFill="1" applyBorder="1" applyAlignment="1">
      <alignment horizontal="center" vertical="center" textRotation="90" wrapText="1"/>
    </xf>
    <xf numFmtId="9" fontId="0" fillId="2" borderId="5" xfId="0" applyNumberFormat="1" applyFill="1" applyBorder="1"/>
    <xf numFmtId="0" fontId="10" fillId="2" borderId="6" xfId="0" applyFont="1" applyFill="1" applyBorder="1" applyAlignment="1">
      <alignment horizontal="center" vertical="center"/>
    </xf>
    <xf numFmtId="0" fontId="6" fillId="2" borderId="7" xfId="0" applyFont="1" applyFill="1" applyBorder="1"/>
    <xf numFmtId="0" fontId="6" fillId="2" borderId="8" xfId="0" applyFont="1" applyFill="1" applyBorder="1" applyAlignment="1">
      <alignment horizontal="center" vertical="center"/>
    </xf>
    <xf numFmtId="1" fontId="6" fillId="2" borderId="7" xfId="0" applyNumberFormat="1" applyFont="1" applyFill="1" applyBorder="1" applyAlignment="1">
      <alignment horizontal="center" vertical="center"/>
    </xf>
    <xf numFmtId="1" fontId="6" fillId="2" borderId="8" xfId="0" applyNumberFormat="1" applyFont="1" applyFill="1" applyBorder="1" applyAlignment="1">
      <alignment horizontal="center" vertical="center"/>
    </xf>
    <xf numFmtId="2" fontId="6" fillId="2" borderId="9" xfId="0" applyNumberFormat="1" applyFont="1" applyFill="1" applyBorder="1" applyAlignment="1">
      <alignment horizontal="center" vertical="center"/>
    </xf>
    <xf numFmtId="2" fontId="6" fillId="2" borderId="8" xfId="0" applyNumberFormat="1" applyFont="1" applyFill="1" applyBorder="1" applyAlignment="1">
      <alignment horizontal="center" vertical="center"/>
    </xf>
    <xf numFmtId="1" fontId="6" fillId="2" borderId="9" xfId="0" applyNumberFormat="1" applyFont="1" applyFill="1" applyBorder="1" applyAlignment="1">
      <alignment horizontal="center" vertical="center"/>
    </xf>
    <xf numFmtId="9" fontId="0" fillId="2" borderId="14" xfId="0" applyNumberFormat="1" applyFill="1" applyBorder="1"/>
    <xf numFmtId="0" fontId="0" fillId="2" borderId="15" xfId="0" applyFill="1" applyBorder="1" applyAlignment="1">
      <alignment horizontal="center" vertical="center"/>
    </xf>
    <xf numFmtId="1" fontId="0" fillId="2" borderId="14" xfId="0" applyNumberFormat="1" applyFill="1" applyBorder="1" applyAlignment="1">
      <alignment horizontal="center" vertical="center"/>
    </xf>
    <xf numFmtId="1" fontId="0" fillId="2" borderId="15" xfId="0" applyNumberFormat="1" applyFill="1" applyBorder="1" applyAlignment="1">
      <alignment horizontal="center" vertical="center"/>
    </xf>
    <xf numFmtId="2" fontId="0" fillId="2" borderId="16" xfId="0" applyNumberFormat="1" applyFill="1" applyBorder="1" applyAlignment="1">
      <alignment horizontal="center" vertical="center"/>
    </xf>
    <xf numFmtId="2" fontId="0" fillId="2" borderId="15" xfId="0" applyNumberForma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1" fontId="0" fillId="2" borderId="6" xfId="0" applyNumberFormat="1" applyFill="1" applyBorder="1" applyAlignment="1">
      <alignment horizontal="center" vertical="center"/>
    </xf>
    <xf numFmtId="1" fontId="0" fillId="2" borderId="16" xfId="0" applyNumberFormat="1" applyFill="1" applyBorder="1" applyAlignment="1">
      <alignment horizontal="center" vertical="center"/>
    </xf>
    <xf numFmtId="9" fontId="0" fillId="4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/>
    <xf numFmtId="0" fontId="2" fillId="2" borderId="0" xfId="0" applyFont="1" applyFill="1" applyBorder="1" applyAlignment="1">
      <alignment horizontal="right"/>
    </xf>
    <xf numFmtId="164" fontId="10" fillId="2" borderId="0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 vertical="center"/>
    </xf>
    <xf numFmtId="0" fontId="0" fillId="2" borderId="17" xfId="0" applyFill="1" applyBorder="1"/>
    <xf numFmtId="0" fontId="0" fillId="3" borderId="0" xfId="0" applyFill="1" applyBorder="1" applyAlignment="1">
      <alignment horizontal="left"/>
    </xf>
    <xf numFmtId="0" fontId="0" fillId="3" borderId="0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1" fillId="2" borderId="0" xfId="0" applyFont="1" applyFill="1" applyBorder="1" applyProtection="1"/>
    <xf numFmtId="0" fontId="0" fillId="2" borderId="0" xfId="0" applyFill="1" applyBorder="1" applyProtection="1"/>
    <xf numFmtId="0" fontId="8" fillId="4" borderId="1" xfId="0" applyFont="1" applyFill="1" applyBorder="1" applyAlignment="1" applyProtection="1">
      <alignment horizontal="left"/>
    </xf>
    <xf numFmtId="49" fontId="7" fillId="4" borderId="10" xfId="0" applyNumberFormat="1" applyFont="1" applyFill="1" applyBorder="1" applyProtection="1"/>
    <xf numFmtId="0" fontId="6" fillId="2" borderId="0" xfId="0" applyFont="1" applyFill="1" applyBorder="1" applyProtection="1"/>
    <xf numFmtId="0" fontId="1" fillId="3" borderId="2" xfId="0" applyFont="1" applyFill="1" applyBorder="1" applyProtection="1"/>
    <xf numFmtId="0" fontId="0" fillId="3" borderId="3" xfId="0" applyFill="1" applyBorder="1" applyProtection="1"/>
    <xf numFmtId="0" fontId="0" fillId="3" borderId="4" xfId="0" applyFill="1" applyBorder="1" applyProtection="1"/>
    <xf numFmtId="0" fontId="1" fillId="3" borderId="5" xfId="0" applyFont="1" applyFill="1" applyBorder="1" applyProtection="1"/>
    <xf numFmtId="0" fontId="0" fillId="3" borderId="0" xfId="0" applyFill="1" applyBorder="1" applyProtection="1"/>
    <xf numFmtId="0" fontId="0" fillId="3" borderId="6" xfId="0" applyFill="1" applyBorder="1" applyProtection="1"/>
    <xf numFmtId="0" fontId="0" fillId="2" borderId="0" xfId="0" applyFill="1" applyProtection="1"/>
    <xf numFmtId="0" fontId="1" fillId="3" borderId="0" xfId="0" applyFont="1" applyFill="1" applyBorder="1" applyProtection="1"/>
    <xf numFmtId="0" fontId="9" fillId="3" borderId="0" xfId="0" applyFont="1" applyFill="1" applyBorder="1" applyProtection="1"/>
    <xf numFmtId="0" fontId="0" fillId="4" borderId="1" xfId="0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left"/>
    </xf>
    <xf numFmtId="0" fontId="0" fillId="3" borderId="5" xfId="0" applyFill="1" applyBorder="1" applyProtection="1"/>
    <xf numFmtId="9" fontId="0" fillId="4" borderId="1" xfId="0" applyNumberFormat="1" applyFill="1" applyBorder="1" applyAlignment="1" applyProtection="1">
      <alignment horizontal="center"/>
    </xf>
    <xf numFmtId="0" fontId="0" fillId="4" borderId="1" xfId="0" applyFill="1" applyBorder="1" applyProtection="1"/>
    <xf numFmtId="0" fontId="1" fillId="3" borderId="7" xfId="0" applyFont="1" applyFill="1" applyBorder="1" applyAlignment="1" applyProtection="1">
      <alignment horizontal="left"/>
    </xf>
    <xf numFmtId="0" fontId="1" fillId="3" borderId="8" xfId="0" applyFont="1" applyFill="1" applyBorder="1" applyAlignment="1" applyProtection="1">
      <alignment horizontal="left"/>
    </xf>
    <xf numFmtId="0" fontId="0" fillId="3" borderId="8" xfId="0" applyFill="1" applyBorder="1" applyProtection="1"/>
    <xf numFmtId="0" fontId="0" fillId="3" borderId="9" xfId="0" applyFill="1" applyBorder="1" applyProtection="1"/>
    <xf numFmtId="0" fontId="0" fillId="2" borderId="8" xfId="0" applyFill="1" applyBorder="1" applyProtection="1"/>
    <xf numFmtId="0" fontId="0" fillId="2" borderId="0" xfId="0" applyFill="1" applyAlignment="1" applyProtection="1">
      <alignment horizontal="center" vertical="center" wrapText="1"/>
    </xf>
    <xf numFmtId="9" fontId="0" fillId="2" borderId="5" xfId="0" applyNumberFormat="1" applyFill="1" applyBorder="1" applyProtection="1"/>
    <xf numFmtId="0" fontId="0" fillId="2" borderId="0" xfId="0" applyFill="1" applyBorder="1" applyAlignment="1" applyProtection="1">
      <alignment horizontal="center" vertical="center"/>
    </xf>
    <xf numFmtId="1" fontId="0" fillId="2" borderId="5" xfId="0" applyNumberFormat="1" applyFill="1" applyBorder="1" applyAlignment="1" applyProtection="1">
      <alignment horizontal="center" vertical="center"/>
    </xf>
    <xf numFmtId="1" fontId="0" fillId="2" borderId="0" xfId="0" applyNumberFormat="1" applyFill="1" applyBorder="1" applyAlignment="1" applyProtection="1">
      <alignment horizontal="center" vertical="center"/>
    </xf>
    <xf numFmtId="2" fontId="0" fillId="2" borderId="6" xfId="0" applyNumberFormat="1" applyFill="1" applyBorder="1" applyAlignment="1" applyProtection="1">
      <alignment horizontal="center" vertical="center"/>
    </xf>
    <xf numFmtId="2" fontId="0" fillId="2" borderId="0" xfId="0" applyNumberFormat="1" applyFill="1" applyBorder="1" applyAlignment="1" applyProtection="1">
      <alignment horizontal="center" vertical="center"/>
    </xf>
    <xf numFmtId="164" fontId="10" fillId="2" borderId="0" xfId="0" applyNumberFormat="1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6" fillId="2" borderId="11" xfId="0" applyFont="1" applyFill="1" applyBorder="1" applyProtection="1"/>
    <xf numFmtId="0" fontId="6" fillId="2" borderId="12" xfId="0" applyFont="1" applyFill="1" applyBorder="1" applyAlignment="1" applyProtection="1">
      <alignment horizontal="center" vertical="center"/>
    </xf>
    <xf numFmtId="1" fontId="6" fillId="2" borderId="11" xfId="0" applyNumberFormat="1" applyFont="1" applyFill="1" applyBorder="1" applyAlignment="1" applyProtection="1">
      <alignment horizontal="center" vertical="center"/>
    </xf>
    <xf numFmtId="1" fontId="6" fillId="2" borderId="12" xfId="0" applyNumberFormat="1" applyFont="1" applyFill="1" applyBorder="1" applyAlignment="1" applyProtection="1">
      <alignment horizontal="center" vertical="center"/>
    </xf>
    <xf numFmtId="2" fontId="6" fillId="2" borderId="13" xfId="0" applyNumberFormat="1" applyFont="1" applyFill="1" applyBorder="1" applyAlignment="1" applyProtection="1">
      <alignment horizontal="center" vertical="center"/>
    </xf>
    <xf numFmtId="2" fontId="6" fillId="2" borderId="12" xfId="0" applyNumberFormat="1" applyFont="1" applyFill="1" applyBorder="1" applyAlignment="1" applyProtection="1">
      <alignment horizontal="center" vertical="center"/>
    </xf>
    <xf numFmtId="1" fontId="6" fillId="2" borderId="13" xfId="0" applyNumberFormat="1" applyFont="1" applyFill="1" applyBorder="1" applyAlignment="1" applyProtection="1">
      <alignment horizontal="center" vertical="center"/>
    </xf>
    <xf numFmtId="164" fontId="6" fillId="2" borderId="12" xfId="0" applyNumberFormat="1" applyFont="1" applyFill="1" applyBorder="1" applyAlignment="1" applyProtection="1">
      <alignment horizontal="center" vertical="center"/>
    </xf>
    <xf numFmtId="9" fontId="0" fillId="2" borderId="14" xfId="0" applyNumberFormat="1" applyFill="1" applyBorder="1" applyProtection="1"/>
    <xf numFmtId="0" fontId="0" fillId="2" borderId="15" xfId="0" applyFill="1" applyBorder="1" applyAlignment="1" applyProtection="1">
      <alignment horizontal="center" vertical="center"/>
    </xf>
    <xf numFmtId="1" fontId="0" fillId="2" borderId="14" xfId="0" applyNumberFormat="1" applyFill="1" applyBorder="1" applyAlignment="1" applyProtection="1">
      <alignment horizontal="center" vertical="center"/>
    </xf>
    <xf numFmtId="1" fontId="0" fillId="2" borderId="15" xfId="0" applyNumberFormat="1" applyFill="1" applyBorder="1" applyAlignment="1" applyProtection="1">
      <alignment horizontal="center" vertical="center"/>
    </xf>
    <xf numFmtId="2" fontId="0" fillId="2" borderId="16" xfId="0" applyNumberFormat="1" applyFill="1" applyBorder="1" applyAlignment="1" applyProtection="1">
      <alignment horizontal="center" vertical="center"/>
    </xf>
    <xf numFmtId="2" fontId="0" fillId="2" borderId="15" xfId="0" applyNumberFormat="1" applyFill="1" applyBorder="1" applyAlignment="1" applyProtection="1">
      <alignment horizontal="center" vertical="center"/>
    </xf>
    <xf numFmtId="0" fontId="10" fillId="2" borderId="16" xfId="0" applyFont="1" applyFill="1" applyBorder="1" applyAlignment="1" applyProtection="1">
      <alignment horizontal="center" vertical="center"/>
    </xf>
    <xf numFmtId="0" fontId="6" fillId="2" borderId="7" xfId="0" applyFont="1" applyFill="1" applyBorder="1" applyProtection="1"/>
    <xf numFmtId="0" fontId="6" fillId="2" borderId="8" xfId="0" applyFont="1" applyFill="1" applyBorder="1" applyAlignment="1" applyProtection="1">
      <alignment horizontal="center" vertical="center"/>
    </xf>
    <xf numFmtId="1" fontId="6" fillId="2" borderId="7" xfId="0" applyNumberFormat="1" applyFont="1" applyFill="1" applyBorder="1" applyAlignment="1" applyProtection="1">
      <alignment horizontal="center" vertical="center"/>
    </xf>
    <xf numFmtId="1" fontId="6" fillId="2" borderId="8" xfId="0" applyNumberFormat="1" applyFont="1" applyFill="1" applyBorder="1" applyAlignment="1" applyProtection="1">
      <alignment horizontal="center" vertical="center"/>
    </xf>
    <xf numFmtId="2" fontId="6" fillId="2" borderId="9" xfId="0" applyNumberFormat="1" applyFont="1" applyFill="1" applyBorder="1" applyAlignment="1" applyProtection="1">
      <alignment horizontal="center" vertical="center"/>
    </xf>
    <xf numFmtId="2" fontId="6" fillId="2" borderId="8" xfId="0" applyNumberFormat="1" applyFont="1" applyFill="1" applyBorder="1" applyAlignment="1" applyProtection="1">
      <alignment horizontal="center" vertical="center"/>
    </xf>
    <xf numFmtId="1" fontId="6" fillId="2" borderId="9" xfId="0" applyNumberFormat="1" applyFont="1" applyFill="1" applyBorder="1" applyAlignment="1" applyProtection="1">
      <alignment horizontal="center" vertical="center"/>
    </xf>
    <xf numFmtId="164" fontId="6" fillId="2" borderId="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Protection="1"/>
    <xf numFmtId="0" fontId="0" fillId="2" borderId="17" xfId="0" applyFill="1" applyBorder="1" applyProtection="1"/>
    <xf numFmtId="0" fontId="2" fillId="2" borderId="0" xfId="0" applyFont="1" applyFill="1" applyBorder="1" applyAlignment="1" applyProtection="1">
      <alignment horizontal="right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 vertical="center" wrapText="1"/>
      <protection locked="0"/>
    </xf>
    <xf numFmtId="0" fontId="0" fillId="2" borderId="1" xfId="0" applyFill="1" applyBorder="1" applyProtection="1">
      <protection locked="0"/>
    </xf>
    <xf numFmtId="0" fontId="1" fillId="3" borderId="20" xfId="0" applyFont="1" applyFill="1" applyBorder="1" applyAlignment="1" applyProtection="1">
      <alignment horizontal="center" vertical="center" textRotation="90" wrapText="1"/>
    </xf>
    <xf numFmtId="0" fontId="1" fillId="3" borderId="21" xfId="0" applyFont="1" applyFill="1" applyBorder="1" applyAlignment="1" applyProtection="1">
      <alignment horizontal="center" vertical="center" textRotation="90" wrapText="1"/>
    </xf>
    <xf numFmtId="0" fontId="3" fillId="3" borderId="22" xfId="0" applyFont="1" applyFill="1" applyBorder="1" applyAlignment="1" applyProtection="1">
      <alignment horizontal="center" vertical="center" textRotation="90" wrapText="1"/>
    </xf>
    <xf numFmtId="0" fontId="1" fillId="3" borderId="22" xfId="0" applyFont="1" applyFill="1" applyBorder="1" applyAlignment="1" applyProtection="1">
      <alignment horizontal="center" vertical="center" textRotation="90" wrapText="1"/>
    </xf>
    <xf numFmtId="0" fontId="12" fillId="3" borderId="20" xfId="0" applyFont="1" applyFill="1" applyBorder="1" applyAlignment="1" applyProtection="1">
      <alignment horizontal="center" vertical="center" textRotation="90" wrapText="1"/>
    </xf>
    <xf numFmtId="0" fontId="13" fillId="3" borderId="20" xfId="0" applyFont="1" applyFill="1" applyBorder="1" applyAlignment="1" applyProtection="1">
      <alignment horizontal="center" vertical="center" textRotation="90" wrapText="1"/>
    </xf>
    <xf numFmtId="0" fontId="13" fillId="3" borderId="21" xfId="0" applyFont="1" applyFill="1" applyBorder="1" applyAlignment="1" applyProtection="1">
      <alignment horizontal="center" vertical="center" textRotation="90" wrapText="1"/>
    </xf>
    <xf numFmtId="0" fontId="14" fillId="3" borderId="20" xfId="0" applyFont="1" applyFill="1" applyBorder="1" applyAlignment="1" applyProtection="1">
      <alignment horizontal="center" vertical="center" textRotation="90" wrapText="1"/>
    </xf>
    <xf numFmtId="0" fontId="14" fillId="3" borderId="22" xfId="0" applyFont="1" applyFill="1" applyBorder="1" applyAlignment="1" applyProtection="1">
      <alignment horizontal="center" vertical="center" textRotation="90" wrapText="1"/>
    </xf>
    <xf numFmtId="0" fontId="15" fillId="3" borderId="20" xfId="0" applyFont="1" applyFill="1" applyBorder="1" applyAlignment="1" applyProtection="1">
      <alignment horizontal="center" vertical="center" textRotation="90" wrapText="1"/>
    </xf>
    <xf numFmtId="0" fontId="15" fillId="3" borderId="22" xfId="0" applyFont="1" applyFill="1" applyBorder="1" applyAlignment="1" applyProtection="1">
      <alignment horizontal="center" vertical="center" textRotation="90" wrapText="1"/>
    </xf>
    <xf numFmtId="164" fontId="0" fillId="2" borderId="5" xfId="0" applyNumberFormat="1" applyFill="1" applyBorder="1" applyAlignment="1" applyProtection="1">
      <alignment horizontal="center" vertical="center"/>
    </xf>
    <xf numFmtId="164" fontId="0" fillId="2" borderId="6" xfId="0" applyNumberFormat="1" applyFill="1" applyBorder="1" applyAlignment="1" applyProtection="1">
      <alignment horizontal="center" vertical="center"/>
    </xf>
    <xf numFmtId="164" fontId="0" fillId="2" borderId="14" xfId="0" applyNumberFormat="1" applyFill="1" applyBorder="1" applyAlignment="1" applyProtection="1">
      <alignment horizontal="center" vertical="center"/>
    </xf>
    <xf numFmtId="164" fontId="0" fillId="2" borderId="16" xfId="0" applyNumberFormat="1" applyFill="1" applyBorder="1" applyAlignment="1" applyProtection="1">
      <alignment horizontal="center" vertical="center"/>
    </xf>
    <xf numFmtId="0" fontId="11" fillId="4" borderId="18" xfId="0" applyFont="1" applyFill="1" applyBorder="1" applyAlignment="1" applyProtection="1">
      <alignment horizontal="center"/>
    </xf>
    <xf numFmtId="0" fontId="11" fillId="4" borderId="19" xfId="0" applyFont="1" applyFill="1" applyBorder="1" applyAlignment="1" applyProtection="1">
      <alignment horizontal="center"/>
    </xf>
    <xf numFmtId="0" fontId="11" fillId="4" borderId="10" xfId="0" applyFont="1" applyFill="1" applyBorder="1" applyAlignment="1" applyProtection="1">
      <alignment horizontal="center"/>
    </xf>
    <xf numFmtId="0" fontId="0" fillId="3" borderId="5" xfId="0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1" fillId="3" borderId="11" xfId="0" applyFont="1" applyFill="1" applyBorder="1" applyAlignment="1" applyProtection="1">
      <alignment horizontal="left" vertical="center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3" xfId="0" applyFont="1" applyFill="1" applyBorder="1" applyAlignment="1" applyProtection="1">
      <alignment horizontal="left" vertical="center"/>
    </xf>
    <xf numFmtId="0" fontId="1" fillId="3" borderId="5" xfId="0" applyFont="1" applyFill="1" applyBorder="1" applyAlignment="1" applyProtection="1">
      <alignment horizontal="left"/>
    </xf>
    <xf numFmtId="0" fontId="1" fillId="3" borderId="0" xfId="0" applyFont="1" applyFill="1" applyBorder="1" applyAlignment="1" applyProtection="1">
      <alignment horizontal="left"/>
    </xf>
    <xf numFmtId="0" fontId="0" fillId="3" borderId="5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</cellXfs>
  <cellStyles count="23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Style="combo" dx="16" fmlaLink="$P$5" fmlaRange="$P$1:$P$4" noThreeD="1" sel="2" val="0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</xdr:row>
          <xdr:rowOff>0</xdr:rowOff>
        </xdr:from>
        <xdr:to>
          <xdr:col>12</xdr:col>
          <xdr:colOff>190500</xdr:colOff>
          <xdr:row>2</xdr:row>
          <xdr:rowOff>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XFC54"/>
  <sheetViews>
    <sheetView tabSelected="1" zoomScaleNormal="100" workbookViewId="0">
      <selection activeCell="D9" sqref="D9"/>
    </sheetView>
  </sheetViews>
  <sheetFormatPr defaultColWidth="0" defaultRowHeight="0" customHeight="1" zeroHeight="1" x14ac:dyDescent="0.25"/>
  <cols>
    <col min="1" max="1" width="7" style="132" customWidth="1"/>
    <col min="2" max="2" width="6.140625" style="132" customWidth="1"/>
    <col min="3" max="3" width="7.28515625" style="132" customWidth="1"/>
    <col min="4" max="4" width="7.140625" style="132" customWidth="1"/>
    <col min="5" max="5" width="7.5703125" style="132" customWidth="1"/>
    <col min="6" max="6" width="9.42578125" style="132" customWidth="1"/>
    <col min="7" max="7" width="8.5703125" style="132" customWidth="1"/>
    <col min="8" max="8" width="7.7109375" style="132" customWidth="1"/>
    <col min="9" max="9" width="7" style="132" customWidth="1"/>
    <col min="10" max="10" width="7.85546875" style="132" customWidth="1"/>
    <col min="11" max="11" width="8.140625" style="132" customWidth="1"/>
    <col min="12" max="12" width="7.7109375" style="132" customWidth="1"/>
    <col min="13" max="13" width="7" style="132" customWidth="1"/>
    <col min="14" max="14" width="2.140625" style="132" customWidth="1"/>
    <col min="15" max="81" width="0.140625" style="132" hidden="1"/>
    <col min="82" max="16383" width="11.42578125" style="132" hidden="1"/>
    <col min="16384" max="16384" width="0.140625" style="132" hidden="1"/>
  </cols>
  <sheetData>
    <row r="1" spans="1:16" s="71" customFormat="1" ht="15" x14ac:dyDescent="0.25">
      <c r="A1" s="72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P1" s="71" t="s">
        <v>64</v>
      </c>
    </row>
    <row r="2" spans="1:16" s="71" customFormat="1" ht="15" x14ac:dyDescent="0.25">
      <c r="A2" s="74" t="str">
        <f>IF($P$5=1,NL!A2,IF('Quatro Canal'!$P$5=2,EN!A2,IF('Quatro Canal'!$P$5=3,DE!A2,IF('Quatro Canal'!$P$5=4,FR!A2,))))</f>
        <v>Formulary</v>
      </c>
      <c r="B2" s="75"/>
      <c r="C2" s="73"/>
      <c r="D2" s="73"/>
      <c r="E2" s="73"/>
      <c r="F2" s="150" t="s">
        <v>67</v>
      </c>
      <c r="G2" s="151"/>
      <c r="H2" s="151"/>
      <c r="I2" s="152"/>
      <c r="J2" s="73"/>
      <c r="K2" s="73"/>
      <c r="L2" s="73"/>
      <c r="M2" s="73"/>
      <c r="N2" s="73"/>
      <c r="P2" s="71" t="s">
        <v>63</v>
      </c>
    </row>
    <row r="3" spans="1:16" s="71" customFormat="1" ht="15" x14ac:dyDescent="0.25">
      <c r="A3" s="7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P3" s="71" t="s">
        <v>65</v>
      </c>
    </row>
    <row r="4" spans="1:16" s="71" customFormat="1" ht="15" x14ac:dyDescent="0.25">
      <c r="A4" s="76" t="str">
        <f>IF($P$5=1,NL!A4,IF('Quatro Canal'!$P$5=2,EN!A4,IF('Quatro Canal'!$P$5=3,DE!A4,IF('Quatro Canal'!$P$5=4,FR!A4,))))</f>
        <v>Conditions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P4" s="71" t="s">
        <v>66</v>
      </c>
    </row>
    <row r="5" spans="1:16" s="71" customFormat="1" ht="6" customHeight="1" x14ac:dyDescent="0.25">
      <c r="A5" s="77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9"/>
      <c r="N5" s="73"/>
      <c r="P5" s="131">
        <v>2</v>
      </c>
    </row>
    <row r="6" spans="1:16" ht="15" x14ac:dyDescent="0.25">
      <c r="A6" s="80" t="str">
        <f>IF($P$5=1,NL!A6,IF('Quatro Canal'!$P$5=2,EN!A6,IF('Quatro Canal'!$P$5=3,DE!A6,IF('Quatro Canal'!$P$5=4,FR!A6,))))</f>
        <v>Temperatures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2"/>
      <c r="N6" s="83"/>
    </row>
    <row r="7" spans="1:16" ht="15" x14ac:dyDescent="0.25">
      <c r="A7" s="80" t="str">
        <f>IF($P$5=1,NL!A7,IF('Quatro Canal'!$P$5=2,EN!A7,IF('Quatro Canal'!$P$5=3,DE!A7,IF('Quatro Canal'!$P$5=4,FR!A7,))))</f>
        <v>Heating:</v>
      </c>
      <c r="B7" s="81"/>
      <c r="C7" s="81"/>
      <c r="D7" s="81"/>
      <c r="E7" s="81"/>
      <c r="F7" s="84" t="str">
        <f>IF($P$5=1,NL!F7,IF('Quatro Canal'!$P$5=2,EN!F7,IF('Quatro Canal'!$P$5=3,DE!F7,IF('Quatro Canal'!$P$5=4,FR!F7,))))</f>
        <v>Cooling:</v>
      </c>
      <c r="G7" s="84"/>
      <c r="H7" s="84"/>
      <c r="I7" s="81"/>
      <c r="J7" s="81"/>
      <c r="K7" s="81"/>
      <c r="L7" s="85"/>
      <c r="M7" s="82"/>
      <c r="N7" s="83"/>
    </row>
    <row r="8" spans="1:16" ht="15" x14ac:dyDescent="0.25">
      <c r="A8" s="153" t="str">
        <f>IF($P$5=1,NL!A8,IF('Quatro Canal'!$P$5=2,EN!A8,IF('Quatro Canal'!$P$5=3,DE!A8,IF('Quatro Canal'!$P$5=4,FR!A8,))))</f>
        <v>Inlet temp. [°C]</v>
      </c>
      <c r="B8" s="154">
        <f>IF($P$5=1,NL!B8,IF('Quatro Canal'!$P$5=2,EN!B8,IF('Quatro Canal'!$P$5=3,DE!B8,IF('Quatro Canal'!$P$5=4,FR!B8,))))</f>
        <v>0</v>
      </c>
      <c r="C8" s="154">
        <f>IF($P$5=1,NL!C8,IF('Quatro Canal'!$P$5=2,EN!C8,IF('Quatro Canal'!$P$5=3,DE!C8,IF('Quatro Canal'!$P$5=4,FR!C8,))))</f>
        <v>0</v>
      </c>
      <c r="D8" s="38">
        <v>60</v>
      </c>
      <c r="E8" s="87"/>
      <c r="F8" s="154" t="str">
        <f>IF($P$5=1,NL!F8,IF('Quatro Canal'!$P$5=2,EN!F8,IF('Quatro Canal'!$P$5=3,DE!F8,IF('Quatro Canal'!$P$5=4,FR!F8,))))</f>
        <v>Inlet temp. [°C]</v>
      </c>
      <c r="G8" s="154">
        <f>IF($P$5=1,NL!G8,IF('Quatro Canal'!$P$5=2,EN!G8,IF('Quatro Canal'!$P$5=3,DE!G8,IF('Quatro Canal'!$P$5=4,FR!G8,))))</f>
        <v>0</v>
      </c>
      <c r="H8" s="154">
        <f>IF($P$5=1,NL!H8,IF('Quatro Canal'!$P$5=2,EN!H8,IF('Quatro Canal'!$P$5=3,DE!H8,IF('Quatro Canal'!$P$5=4,FR!H8,))))</f>
        <v>0</v>
      </c>
      <c r="I8" s="154">
        <f>IF($P$5=1,NL!I8,IF('Quatro Canal'!$P$5=2,EN!I8,IF('Quatro Canal'!$P$5=3,DE!I8,IF('Quatro Canal'!$P$5=4,FR!I8,))))</f>
        <v>0</v>
      </c>
      <c r="J8" s="38">
        <v>8</v>
      </c>
      <c r="K8" s="81"/>
      <c r="L8" s="81"/>
      <c r="M8" s="82"/>
      <c r="N8" s="83"/>
    </row>
    <row r="9" spans="1:16" ht="15" x14ac:dyDescent="0.25">
      <c r="A9" s="153" t="str">
        <f>IF($P$5=1,NL!A9,IF('Quatro Canal'!$P$5=2,EN!A9,IF('Quatro Canal'!$P$5=3,DE!A9,IF('Quatro Canal'!$P$5=4,FR!A9,))))</f>
        <v>Return temp. [°C]</v>
      </c>
      <c r="B9" s="154">
        <f>IF($P$5=1,NL!B9,IF('Quatro Canal'!$P$5=2,EN!B9,IF('Quatro Canal'!$P$5=3,DE!B9,IF('Quatro Canal'!$P$5=4,FR!B9,))))</f>
        <v>0</v>
      </c>
      <c r="C9" s="154">
        <f>IF($P$5=1,NL!C9,IF('Quatro Canal'!$P$5=2,EN!C9,IF('Quatro Canal'!$P$5=3,DE!C9,IF('Quatro Canal'!$P$5=4,FR!C9,))))</f>
        <v>0</v>
      </c>
      <c r="D9" s="38">
        <v>45</v>
      </c>
      <c r="E9" s="87"/>
      <c r="F9" s="154" t="str">
        <f>IF($P$5=1,NL!F9,IF('Quatro Canal'!$P$5=2,EN!F9,IF('Quatro Canal'!$P$5=3,DE!F9,IF('Quatro Canal'!$P$5=4,FR!F9,))))</f>
        <v>Return temp. [°C]</v>
      </c>
      <c r="G9" s="154">
        <f>IF($P$5=1,NL!G9,IF('Quatro Canal'!$P$5=2,EN!G9,IF('Quatro Canal'!$P$5=3,DE!G9,IF('Quatro Canal'!$P$5=4,FR!G9,))))</f>
        <v>0</v>
      </c>
      <c r="H9" s="154">
        <f>IF($P$5=1,NL!H9,IF('Quatro Canal'!$P$5=2,EN!H9,IF('Quatro Canal'!$P$5=3,DE!H9,IF('Quatro Canal'!$P$5=4,FR!H9,))))</f>
        <v>0</v>
      </c>
      <c r="I9" s="154">
        <f>IF($P$5=1,NL!I9,IF('Quatro Canal'!$P$5=2,EN!I9,IF('Quatro Canal'!$P$5=3,DE!I9,IF('Quatro Canal'!$P$5=4,FR!I9,))))</f>
        <v>0</v>
      </c>
      <c r="J9" s="38">
        <v>14</v>
      </c>
      <c r="K9" s="81"/>
      <c r="L9" s="81"/>
      <c r="M9" s="82"/>
      <c r="N9" s="83"/>
    </row>
    <row r="10" spans="1:16" ht="15" x14ac:dyDescent="0.25">
      <c r="A10" s="153" t="str">
        <f>IF($P$5=1,NL!A10,IF('Quatro Canal'!$P$5=2,EN!A10,IF('Quatro Canal'!$P$5=3,DE!A10,IF('Quatro Canal'!$P$5=4,FR!A10,))))</f>
        <v>Raumtemp. [°C]</v>
      </c>
      <c r="B10" s="154">
        <f>IF($P$5=1,NL!B10,IF('Quatro Canal'!$P$5=2,EN!B10,IF('Quatro Canal'!$P$5=3,DE!B10,IF('Quatro Canal'!$P$5=4,FR!B10,))))</f>
        <v>0</v>
      </c>
      <c r="C10" s="154">
        <f>IF($P$5=1,NL!C10,IF('Quatro Canal'!$P$5=2,EN!C10,IF('Quatro Canal'!$P$5=3,DE!C10,IF('Quatro Canal'!$P$5=4,FR!C10,))))</f>
        <v>0</v>
      </c>
      <c r="D10" s="38">
        <v>20</v>
      </c>
      <c r="E10" s="87"/>
      <c r="F10" s="154" t="str">
        <f>IF($P$5=1,NL!F10,IF('Quatro Canal'!$P$5=2,EN!F10,IF('Quatro Canal'!$P$5=3,DE!F10,IF('Quatro Canal'!$P$5=4,FR!F10,))))</f>
        <v>Room temp. [°C]</v>
      </c>
      <c r="G10" s="154">
        <f>IF($P$5=1,NL!G10,IF('Quatro Canal'!$P$5=2,EN!G10,IF('Quatro Canal'!$P$5=3,DE!G10,IF('Quatro Canal'!$P$5=4,FR!G10,))))</f>
        <v>0</v>
      </c>
      <c r="H10" s="154">
        <f>IF($P$5=1,NL!H10,IF('Quatro Canal'!$P$5=2,EN!H10,IF('Quatro Canal'!$P$5=3,DE!H10,IF('Quatro Canal'!$P$5=4,FR!H10,))))</f>
        <v>0</v>
      </c>
      <c r="I10" s="154">
        <f>IF($P$5=1,NL!I10,IF('Quatro Canal'!$P$5=2,EN!I10,IF('Quatro Canal'!$P$5=3,DE!I10,IF('Quatro Canal'!$P$5=4,FR!I10,))))</f>
        <v>0</v>
      </c>
      <c r="J10" s="38">
        <v>26</v>
      </c>
      <c r="K10" s="81"/>
      <c r="L10" s="81"/>
      <c r="M10" s="82"/>
      <c r="N10" s="83"/>
    </row>
    <row r="11" spans="1:16" ht="15" x14ac:dyDescent="0.25">
      <c r="A11" s="88"/>
      <c r="B11" s="81"/>
      <c r="C11" s="81"/>
      <c r="D11" s="81"/>
      <c r="E11" s="81"/>
      <c r="F11" s="81" t="str">
        <f>IF($P$5=1,NL!F11,IF('Quatro Canal'!$P$5=2,EN!F11,IF('Quatro Canal'!$P$5=3,DE!F11,IF('Quatro Canal'!$P$5=4,FR!F11,))))</f>
        <v>rel. humid. [%]</v>
      </c>
      <c r="G11" s="81"/>
      <c r="H11" s="81"/>
      <c r="I11" s="81"/>
      <c r="J11" s="63">
        <v>0.5</v>
      </c>
      <c r="K11" s="81"/>
      <c r="L11" s="81"/>
      <c r="M11" s="82"/>
      <c r="N11" s="83"/>
    </row>
    <row r="12" spans="1:16" ht="13.9" hidden="1" customHeight="1" x14ac:dyDescent="0.25">
      <c r="A12" s="158" t="s">
        <v>12</v>
      </c>
      <c r="B12" s="159"/>
      <c r="C12" s="159"/>
      <c r="D12" s="159"/>
      <c r="E12" s="90">
        <v>100</v>
      </c>
      <c r="F12" s="81" t="s">
        <v>13</v>
      </c>
      <c r="G12" s="81"/>
      <c r="H12" s="81"/>
      <c r="I12" s="81" t="s">
        <v>18</v>
      </c>
      <c r="J12" s="70" t="s">
        <v>17</v>
      </c>
      <c r="K12" s="81"/>
      <c r="L12" s="81"/>
      <c r="M12" s="82"/>
      <c r="N12" s="83"/>
    </row>
    <row r="13" spans="1:16" ht="6" customHeight="1" x14ac:dyDescent="0.25">
      <c r="A13" s="91"/>
      <c r="B13" s="92"/>
      <c r="C13" s="92"/>
      <c r="D13" s="92"/>
      <c r="E13" s="93"/>
      <c r="F13" s="93"/>
      <c r="G13" s="93"/>
      <c r="H13" s="93"/>
      <c r="I13" s="93"/>
      <c r="J13" s="93"/>
      <c r="K13" s="93"/>
      <c r="L13" s="93"/>
      <c r="M13" s="94"/>
      <c r="N13" s="83"/>
    </row>
    <row r="14" spans="1:16" ht="15" x14ac:dyDescent="0.25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83"/>
    </row>
    <row r="15" spans="1:16" s="133" customFormat="1" ht="103.5" customHeight="1" x14ac:dyDescent="0.25">
      <c r="A15" s="135" t="str">
        <f>IF($P$5=1,NL!A15,IF('Quatro Canal'!$P$5=2,EN!A15,IF('Quatro Canal'!$P$5=3,DE!A15,IF('Quatro Canal'!$P$5=4,FR!A15,))))</f>
        <v>Speed level:</v>
      </c>
      <c r="B15" s="138" t="str">
        <f>IF($P$5=1,NL!B15,IF('Quatro Canal'!$P$5=2,EN!B15,IF('Quatro Canal'!$P$5=3,DE!B15,IF('Quatro Canal'!$P$5=4,FR!B15,))))</f>
        <v>Control voltage [V]</v>
      </c>
      <c r="C15" s="139" t="str">
        <f>IF($P$5=1,NL!C15,IF('Quatro Canal'!$P$5=2,EN!C15,IF('Quatro Canal'!$P$5=3,DE!C15,IF('Quatro Canal'!$P$5=4,FR!C15,))))</f>
        <v>Heat output * 60/45/20 [W]</v>
      </c>
      <c r="D15" s="136" t="str">
        <f>IF($P$5=1,NL!D15,IF('Quatro Canal'!$P$5=2,EN!D15,IF('Quatro Canal'!$P$5=3,DE!D15,IF('Quatro Canal'!$P$5=4,FR!D15,))))</f>
        <v>Water flowrate, heating [l/h]</v>
      </c>
      <c r="E15" s="137" t="str">
        <f>IF($P$5=1,NL!E15,IF('Quatro Canal'!$P$5=2,EN!E15,IF('Quatro Canal'!$P$5=3,DE!E15,IF('Quatro Canal'!$P$5=4,FR!E15,))))</f>
        <v>Watersided pressure loss [kPa]</v>
      </c>
      <c r="F15" s="140" t="str">
        <f>IF($P$5=1,NL!F15,IF('Quatro Canal'!$P$5=2,EN!F15,IF('Quatro Canal'!$P$5=3,DE!F15,IF('Quatro Canal'!$P$5=4,FR!F15,))))</f>
        <v>Sens. cooling capacity * 8/14/26 [W]</v>
      </c>
      <c r="G15" s="141" t="str">
        <f>IF($P$5=1,NL!G15,IF('Quatro Canal'!$P$5=2,EN!G15,IF('Quatro Canal'!$P$5=3,DE!G15,IF('Quatro Canal'!$P$5=4,FR!G15,))))</f>
        <v>Tot. cooling capacity 8/14/26 [W]</v>
      </c>
      <c r="H15" s="136" t="str">
        <f>IF($P$5=1,NL!H15,IF('Quatro Canal'!$P$5=2,EN!H15,IF('Quatro Canal'!$P$5=3,DE!H15,IF('Quatro Canal'!$P$5=4,FR!H15,))))</f>
        <v>Water flowrate, cooling [l/h]</v>
      </c>
      <c r="I15" s="137" t="str">
        <f>IF($P$5=1,NL!I15,IF('Quatro Canal'!$P$5=2,EN!I15,IF('Quatro Canal'!$P$5=3,DE!I15,IF('Quatro Canal'!$P$5=4,FR!I15,))))</f>
        <v>Watersided pressure loss [kPa]</v>
      </c>
      <c r="J15" s="142" t="str">
        <f>IF($P$5=1,NL!J15,IF('Quatro Canal'!$P$5=2,EN!J15,IF('Quatro Canal'!$P$5=3,DE!J15,IF('Quatro Canal'!$P$5=4,FR!J15,))))</f>
        <v>Sound pressure *** [dB(A)]</v>
      </c>
      <c r="K15" s="143" t="str">
        <f>IF($P$5=1,NL!K15,IF('Quatro Canal'!$P$5=2,EN!K15,IF('Quatro Canal'!$P$5=3,DE!K15,IF('Quatro Canal'!$P$5=4,FR!K15,))))</f>
        <v>Sound power ** [dB(A)]</v>
      </c>
      <c r="L15" s="144" t="str">
        <f>IF($P$5=1,NL!L15,IF('Quatro Canal'!$P$5=2,EN!L15,IF('Quatro Canal'!$P$5=3,DE!L15,IF('Quatro Canal'!$P$5=4,FR!L15,))))</f>
        <v>Electrical power [W]</v>
      </c>
      <c r="M15" s="145" t="str">
        <f>IF($P$5=1,NL!M15,IF('Quatro Canal'!$P$5=2,EN!M15,IF('Quatro Canal'!$P$5=3,DE!M15,IF('Quatro Canal'!$P$5=4,FR!M15,))))</f>
        <v>Air flowrate [m³/h]</v>
      </c>
      <c r="N15" s="96"/>
    </row>
    <row r="16" spans="1:16" ht="18" customHeight="1" x14ac:dyDescent="0.25">
      <c r="A16" s="155" t="str">
        <f>IF($P$5=1,NL!A16,IF('Quatro Canal'!$P$5=2,EN!A16,IF('Quatro Canal'!$P$5=3,DE!A16,IF('Quatro Canal'!$P$5=4,FR!A16,))))</f>
        <v>Quatro Canal Height 13,0cm Width 27cm  Length 79,8cm (Type 1)</v>
      </c>
      <c r="B16" s="156">
        <f>IF($P$5=1,NL!B16,IF('Quatro Canal'!$P$5=2,EN!B16,IF('Quatro Canal'!$P$5=3,DE!B16,IF('Quatro Canal'!$P$5=4,FR!B16,))))</f>
        <v>0</v>
      </c>
      <c r="C16" s="155">
        <f>IF($P$5=1,NL!C16,IF('Quatro Canal'!$P$5=2,EN!C16,IF('Quatro Canal'!$P$5=3,DE!C16,IF('Quatro Canal'!$P$5=4,FR!C16,))))</f>
        <v>0</v>
      </c>
      <c r="D16" s="157">
        <f>IF($P$5=1,NL!D16,IF('Quatro Canal'!$P$5=2,EN!D16,IF('Quatro Canal'!$P$5=3,DE!D16,IF('Quatro Canal'!$P$5=4,FR!D16,))))</f>
        <v>0</v>
      </c>
      <c r="E16" s="156">
        <f>IF($P$5=1,NL!E16,IF('Quatro Canal'!$P$5=2,EN!E16,IF('Quatro Canal'!$P$5=3,DE!E16,IF('Quatro Canal'!$P$5=4,FR!E16,))))</f>
        <v>0</v>
      </c>
      <c r="F16" s="156">
        <f>IF($P$5=1,NL!F16,IF('Quatro Canal'!$P$5=2,EN!F16,IF('Quatro Canal'!$P$5=3,DE!F16,IF('Quatro Canal'!$P$5=4,FR!F16,))))</f>
        <v>0</v>
      </c>
      <c r="G16" s="156">
        <f>IF($P$5=1,NL!G16,IF('Quatro Canal'!$P$5=2,EN!G16,IF('Quatro Canal'!$P$5=3,DE!G16,IF('Quatro Canal'!$P$5=4,FR!G16,))))</f>
        <v>0</v>
      </c>
      <c r="H16" s="156">
        <f>IF($P$5=1,NL!H16,IF('Quatro Canal'!$P$5=2,EN!H16,IF('Quatro Canal'!$P$5=3,DE!H16,IF('Quatro Canal'!$P$5=4,FR!H16,))))</f>
        <v>0</v>
      </c>
      <c r="I16" s="156">
        <f>IF($P$5=1,NL!I16,IF('Quatro Canal'!$P$5=2,EN!I16,IF('Quatro Canal'!$P$5=3,DE!I16,IF('Quatro Canal'!$P$5=4,FR!I16,))))</f>
        <v>0</v>
      </c>
      <c r="J16" s="155">
        <f>IF($P$5=1,NL!J16,IF('Quatro Canal'!$P$5=2,EN!J16,IF('Quatro Canal'!$P$5=3,DE!J16,IF('Quatro Canal'!$P$5=4,FR!J16,))))</f>
        <v>0</v>
      </c>
      <c r="K16" s="156">
        <f>IF($P$5=1,NL!K16,IF('Quatro Canal'!$P$5=2,EN!K16,IF('Quatro Canal'!$P$5=3,DE!K16,IF('Quatro Canal'!$P$5=4,FR!K16,))))</f>
        <v>0</v>
      </c>
      <c r="L16" s="156">
        <f>IF($P$5=1,NL!L16,IF('Quatro Canal'!$P$5=2,EN!L16,IF('Quatro Canal'!$P$5=3,DE!L16,IF('Quatro Canal'!$P$5=4,FR!L16,))))</f>
        <v>0</v>
      </c>
      <c r="M16" s="157">
        <f>IF($P$5=1,NL!M16,IF('Quatro Canal'!$P$5=2,EN!M16,IF('Quatro Canal'!$P$5=3,DE!M16,IF('Quatro Canal'!$P$5=4,FR!M16,))))</f>
        <v>0</v>
      </c>
      <c r="N16" s="83"/>
      <c r="P16" s="134" t="s">
        <v>23</v>
      </c>
    </row>
    <row r="17" spans="1:16" ht="15" x14ac:dyDescent="0.25">
      <c r="A17" s="97">
        <v>0.2</v>
      </c>
      <c r="B17" s="98">
        <v>2</v>
      </c>
      <c r="C17" s="99">
        <f>362*(($D$8+$D$9)/2-$D$10)/50</f>
        <v>235.3</v>
      </c>
      <c r="D17" s="100">
        <f>C17/(($D$8-$D$9)*1.163)</f>
        <v>13.48810547434795</v>
      </c>
      <c r="E17" s="101">
        <f>0.0000255*D17^1.8</f>
        <v>2.7570960531017406E-3</v>
      </c>
      <c r="F17" s="100">
        <f>41*-((($J$8+$J$9)/2-$J$10)/10)^P17</f>
        <v>65.622038489193358</v>
      </c>
      <c r="G17" s="100">
        <f>$F17/(IF((237.3*LN(($J$11*EXP(17.27*($J$10/($J$10+237.3))))))/(17.27-LN(($J$11*EXP(17.27*($J$10/($J$10+237.3))))))&lt;($J$8+$J$9)/2,1,1/(1+((2258*((0.622/((101325/(1*611*EXP(17.27*(($J$8+$J$9)/2/(($J$8+$J$9)/2+237.3))))))-1)*1000-(0.622/((101325/($J$11*611*EXP(17.27*($J$10/($J$10+237.3))))))-1)*1000))/(1005*(($J$8+$J$9)/2-$J$10))))-((-0.000625*$B17+0.00625)*($J$10-($J$8+$J$9)/2)-(-0.000625*$B17+0.00625)*10)))</f>
        <v>90.874862592234351</v>
      </c>
      <c r="H17" s="100">
        <f>G17/(($J$9-$J$8)*1.163)</f>
        <v>13.023052822045623</v>
      </c>
      <c r="I17" s="102">
        <f>0.00005*H17^1.8</f>
        <v>5.0751986768529092E-3</v>
      </c>
      <c r="J17" s="146">
        <f>K17-8</f>
        <v>16</v>
      </c>
      <c r="K17" s="147">
        <v>24</v>
      </c>
      <c r="L17" s="103">
        <v>1</v>
      </c>
      <c r="M17" s="104">
        <v>38</v>
      </c>
      <c r="N17" s="83"/>
      <c r="P17" s="134">
        <v>1.1599999999999999</v>
      </c>
    </row>
    <row r="18" spans="1:16" ht="15" x14ac:dyDescent="0.25">
      <c r="A18" s="97">
        <v>0.4</v>
      </c>
      <c r="B18" s="98">
        <v>4</v>
      </c>
      <c r="C18" s="99">
        <f>590*(($D$8+$D$9)/2-$D$10)/50</f>
        <v>383.5</v>
      </c>
      <c r="D18" s="100">
        <f>C18/(($D$8-$D$9)*1.163)</f>
        <v>21.983376325594726</v>
      </c>
      <c r="E18" s="101">
        <f t="shared" ref="E18:E21" si="0">0.0000255*D18^1.8</f>
        <v>6.642171587201629E-3</v>
      </c>
      <c r="F18" s="100">
        <f>84*-((($J$8+$J$9)/2-$J$10)/10)^P18</f>
        <v>128.06020581629551</v>
      </c>
      <c r="G18" s="100">
        <f t="shared" ref="G18:G21" si="1">$F18/(IF((237.3*LN(($J$11*EXP(17.27*($J$10/($J$10+237.3))))))/(17.27-LN(($J$11*EXP(17.27*($J$10/($J$10+237.3))))))&lt;($J$8+$J$9)/2,1,1/(1+((2258*((0.622/((101325/(1*611*EXP(17.27*(($J$8+$J$9)/2/(($J$8+$J$9)/2+237.3))))))-1)*1000-(0.622/((101325/($J$11*611*EXP(17.27*($J$10/($J$10+237.3))))))-1)*1000))/(1005*(($J$8+$J$9)/2-$J$10))))-((-0.000625*$B18+0.00625)*($J$10-($J$8+$J$9)/2)-(-0.000625*$B18+0.00625)*10)))</f>
        <v>175.81889235979989</v>
      </c>
      <c r="H18" s="100">
        <f t="shared" ref="H18:H21" si="2">G18/(($J$9-$J$8)*1.163)</f>
        <v>25.196172593837762</v>
      </c>
      <c r="I18" s="102">
        <f>0.00005*H18^1.8</f>
        <v>1.6648389910186991E-2</v>
      </c>
      <c r="J18" s="146">
        <f t="shared" ref="J18:J21" si="3">K18-8</f>
        <v>19</v>
      </c>
      <c r="K18" s="147">
        <v>27</v>
      </c>
      <c r="L18" s="103">
        <v>1.6</v>
      </c>
      <c r="M18" s="104">
        <v>55</v>
      </c>
      <c r="N18" s="83"/>
      <c r="P18" s="134">
        <v>1.04</v>
      </c>
    </row>
    <row r="19" spans="1:16" ht="15" x14ac:dyDescent="0.25">
      <c r="A19" s="97">
        <v>0.6</v>
      </c>
      <c r="B19" s="98">
        <v>6</v>
      </c>
      <c r="C19" s="99">
        <f>786*(($D$8+$D$9)/2-$D$10)/50</f>
        <v>510.9</v>
      </c>
      <c r="D19" s="100">
        <f t="shared" ref="D19:D21" si="4">C19/(($D$8-$D$9)*1.163)</f>
        <v>29.286328460877041</v>
      </c>
      <c r="E19" s="101">
        <f t="shared" si="0"/>
        <v>1.1131073550858713E-2</v>
      </c>
      <c r="F19" s="100">
        <f>127*-((($J$8+$J$9)/2-$J$10)/10)^P19</f>
        <v>186.67682984204225</v>
      </c>
      <c r="G19" s="100">
        <f t="shared" si="1"/>
        <v>254.11542884798592</v>
      </c>
      <c r="H19" s="100">
        <f t="shared" si="2"/>
        <v>36.416656470046711</v>
      </c>
      <c r="I19" s="102">
        <f>0.00005*H19^1.8</f>
        <v>3.2308004084437701E-2</v>
      </c>
      <c r="J19" s="146">
        <f t="shared" si="3"/>
        <v>27.1</v>
      </c>
      <c r="K19" s="147">
        <v>35.1</v>
      </c>
      <c r="L19" s="103">
        <v>2.9</v>
      </c>
      <c r="M19" s="104">
        <v>85</v>
      </c>
      <c r="N19" s="83"/>
      <c r="P19" s="134">
        <v>0.95</v>
      </c>
    </row>
    <row r="20" spans="1:16" ht="15" x14ac:dyDescent="0.25">
      <c r="A20" s="97">
        <v>0.8</v>
      </c>
      <c r="B20" s="98">
        <v>8</v>
      </c>
      <c r="C20" s="99">
        <f>962*(($D$8+$D$9)/2-$D$10)/50</f>
        <v>625.29999999999995</v>
      </c>
      <c r="D20" s="100">
        <f t="shared" si="4"/>
        <v>35.844081398681567</v>
      </c>
      <c r="E20" s="101">
        <f t="shared" si="0"/>
        <v>1.6013696720354496E-2</v>
      </c>
      <c r="F20" s="100">
        <f>170*-((($J$8+$J$9)/2-$J$10)/10)^P20</f>
        <v>249.88237065470221</v>
      </c>
      <c r="G20" s="100">
        <f t="shared" si="1"/>
        <v>337.28493605865339</v>
      </c>
      <c r="H20" s="100">
        <f t="shared" si="2"/>
        <v>48.335473783126027</v>
      </c>
      <c r="I20" s="102">
        <f>0.00005*H20^1.8</f>
        <v>5.3783463753137653E-2</v>
      </c>
      <c r="J20" s="146">
        <f t="shared" si="3"/>
        <v>35</v>
      </c>
      <c r="K20" s="147">
        <v>43</v>
      </c>
      <c r="L20" s="103">
        <v>5</v>
      </c>
      <c r="M20" s="104">
        <v>117</v>
      </c>
      <c r="N20" s="83"/>
      <c r="P20" s="134">
        <v>0.95</v>
      </c>
    </row>
    <row r="21" spans="1:16" ht="15" x14ac:dyDescent="0.25">
      <c r="A21" s="97">
        <v>1</v>
      </c>
      <c r="B21" s="98">
        <v>10</v>
      </c>
      <c r="C21" s="99">
        <f>1126*(($D$8+$D$9)/2-$D$10)/50</f>
        <v>731.9</v>
      </c>
      <c r="D21" s="100">
        <f t="shared" si="4"/>
        <v>41.954714817999424</v>
      </c>
      <c r="E21" s="101">
        <f t="shared" si="0"/>
        <v>2.1259134153355428E-2</v>
      </c>
      <c r="F21" s="100">
        <f>214*-((($J$8+$J$9)/2-$J$10)/10)^P21</f>
        <v>318.40744013897017</v>
      </c>
      <c r="G21" s="100">
        <f t="shared" si="1"/>
        <v>426.18303096640699</v>
      </c>
      <c r="H21" s="100">
        <f t="shared" si="2"/>
        <v>61.075240895157208</v>
      </c>
      <c r="I21" s="102">
        <f>0.00005*H21^1.8</f>
        <v>8.1945921593697874E-2</v>
      </c>
      <c r="J21" s="146">
        <f t="shared" si="3"/>
        <v>38</v>
      </c>
      <c r="K21" s="147">
        <v>46</v>
      </c>
      <c r="L21" s="103">
        <v>7.7</v>
      </c>
      <c r="M21" s="104">
        <v>147</v>
      </c>
      <c r="N21" s="83"/>
      <c r="P21" s="134">
        <v>0.98</v>
      </c>
    </row>
    <row r="22" spans="1:16" ht="15" hidden="1" x14ac:dyDescent="0.25">
      <c r="A22" s="105" t="s">
        <v>14</v>
      </c>
      <c r="B22" s="106">
        <f>E12/10</f>
        <v>10</v>
      </c>
      <c r="C22" s="107">
        <f>IF($B$22&lt;=$B$17,(C17-0)/($B$17-0)*$B$22,IF($B$22&lt;=$B$18,(C18-C17)/($B$18-$B$17)*($B$22-$B$17)+C17,IF($B$22&lt;=$B$21,(C21-C18)/($B$21-$B$18)*($B$22-$B$18)+C18)))</f>
        <v>731.9</v>
      </c>
      <c r="D22" s="108">
        <f>C22/(($D$8-$D$9)*1.163)</f>
        <v>41.954714817999424</v>
      </c>
      <c r="E22" s="109">
        <f>0.000115720760310885*D22^1.96267663452922</f>
        <v>0.17717611937648012</v>
      </c>
      <c r="F22" s="108">
        <f>IF($B$22&lt;=$B$17,(F17-0)/($B$17-0)*$B$22,IF($B$22&lt;=$B$18,(F18-F17)/($B$18-$B$17)*($B$22-$B$17)+F17,IF($B$22&lt;=$B$21,(F21-F18)/($B$21-$B$18)*($B$22-$B$18)+F18)))</f>
        <v>318.40744013897017</v>
      </c>
      <c r="G22" s="100">
        <f t="shared" ref="G22" si="5">$F22/(IF((237.3*LN(($J$11*EXP(17.27*($J$10/($J$10+237.3))))))/(17.27-LN(($J$11*EXP(17.27*($J$10/($J$10+237.3))))))&lt;($J$8+$J$9)/2,1,1/(1+((2258*((0.622/((101325/(1*611*EXP(17.27*(($J$8+$J$9)/2/(($J$8+$J$9)/2+237.3))))))-1)*1000-(0.622/((101325/($J$11*611*EXP(17.27*($J$10/($J$10+237.3))))))-1)*1000))/(1005*(($J$8+$J$9)/2-$J$10))))-((-0.000625*$B22+0.00625)*($J$10-($J$8+$J$9)/2)-(-0.000625*$B22+0.00625)*10)))</f>
        <v>426.18303096640699</v>
      </c>
      <c r="H22" s="108">
        <f>F22/(($J$9-$J$8)*1.163)</f>
        <v>45.630186319714845</v>
      </c>
      <c r="I22" s="110">
        <f>0.000115720760310885*H22^1.96267663452922</f>
        <v>0.20892330373336254</v>
      </c>
      <c r="J22" s="107">
        <f>IF($B$22&lt;=$B$17,(J17-0)/($B$17-0)*$B$22,IF($B$22&lt;=$B$18,(J18-J17)/($B$18-$B$17)*($B$22-$B$17)+J17,IF($B$22&lt;=$B$21,(J21-J18)/($B$21-$B$18)*($B$22-$B$18)+J18)))</f>
        <v>38</v>
      </c>
      <c r="K22" s="111">
        <f>IF($B$22&lt;=$B$17,(K17-0)/($B$17-0)*$B$22,IF($B$22&lt;=$B$18,(K18-K17)/($B$18-$B$17)*($B$22-$B$17)+K17,IF($B$22&lt;=$B$21,(K21-K18)/($B$21-$B$18)*($B$22-$B$18)+K18)))</f>
        <v>46</v>
      </c>
      <c r="L22" s="112">
        <f>IF($B$22&lt;=$B$17,(L17-0)/($B$17-0)*$B$22,IF($B$22&lt;=$B$18,(L18-L17)/($B$18-$B$17)*($B$22-$B$17)+L17,IF($B$22&lt;=$B$21,(L21-L18)/($B$21-$B$18)*($B$22-$B$18)+L18)))</f>
        <v>7.6999999999999993</v>
      </c>
      <c r="M22" s="111">
        <f>IF($B$22&lt;=$B$17,(M17-0)/($B$17-0)*$B$22,IF($B$22&lt;=$B$18,(M18-M17)/($B$18-$B$17)*($B$22-$B$17)+M17,IF($B$22&lt;=$B$21,(M21-M18)/($B$21-$B$18)*($B$22-$B$18)+M18)))</f>
        <v>147</v>
      </c>
      <c r="N22" s="83"/>
      <c r="P22" s="134"/>
    </row>
    <row r="23" spans="1:16" ht="16.899999999999999" customHeight="1" x14ac:dyDescent="0.25">
      <c r="A23" s="155" t="str">
        <f>IF($P$5=1,NL!A23,IF('Quatro Canal'!$P$5=2,EN!A23,IF('Quatro Canal'!$P$5=3,DE!A23,IF('Quatro Canal'!$P$5=4,FR!A23,))))</f>
        <v>Quatro Canal Height 13,0cm Width 27cm Length 108,3cm (Type 2)</v>
      </c>
      <c r="B23" s="156">
        <f>IF($P$5=1,NL!B23,IF('Quatro Canal'!$P$5=2,EN!B23,IF('Quatro Canal'!$P$5=3,DE!B23,IF('Quatro Canal'!$P$5=4,FR!B23,))))</f>
        <v>0</v>
      </c>
      <c r="C23" s="155">
        <f>IF($P$5=1,NL!C23,IF('Quatro Canal'!$P$5=2,EN!C23,IF('Quatro Canal'!$P$5=3,DE!C23,IF('Quatro Canal'!$P$5=4,FR!C23,))))</f>
        <v>0</v>
      </c>
      <c r="D23" s="157">
        <f>IF($P$5=1,NL!D23,IF('Quatro Canal'!$P$5=2,EN!D23,IF('Quatro Canal'!$P$5=3,DE!D23,IF('Quatro Canal'!$P$5=4,FR!D23,))))</f>
        <v>0</v>
      </c>
      <c r="E23" s="156">
        <f>IF($P$5=1,NL!E23,IF('Quatro Canal'!$P$5=2,EN!E23,IF('Quatro Canal'!$P$5=3,DE!E23,IF('Quatro Canal'!$P$5=4,FR!E23,))))</f>
        <v>0</v>
      </c>
      <c r="F23" s="156">
        <f>IF($P$5=1,NL!F23,IF('Quatro Canal'!$P$5=2,EN!F23,IF('Quatro Canal'!$P$5=3,DE!F23,IF('Quatro Canal'!$P$5=4,FR!F23,))))</f>
        <v>0</v>
      </c>
      <c r="G23" s="156">
        <f>IF($P$5=1,NL!G23,IF('Quatro Canal'!$P$5=2,EN!G23,IF('Quatro Canal'!$P$5=3,DE!G23,IF('Quatro Canal'!$P$5=4,FR!G23,))))</f>
        <v>0</v>
      </c>
      <c r="H23" s="156">
        <f>IF($P$5=1,NL!H23,IF('Quatro Canal'!$P$5=2,EN!H23,IF('Quatro Canal'!$P$5=3,DE!H23,IF('Quatro Canal'!$P$5=4,FR!H23,))))</f>
        <v>0</v>
      </c>
      <c r="I23" s="156">
        <f>IF($P$5=1,NL!I23,IF('Quatro Canal'!$P$5=2,EN!I23,IF('Quatro Canal'!$P$5=3,DE!I23,IF('Quatro Canal'!$P$5=4,FR!I23,))))</f>
        <v>0</v>
      </c>
      <c r="J23" s="155">
        <f>IF($P$5=1,NL!J23,IF('Quatro Canal'!$P$5=2,EN!J23,IF('Quatro Canal'!$P$5=3,DE!J23,IF('Quatro Canal'!$P$5=4,FR!J23,))))</f>
        <v>0</v>
      </c>
      <c r="K23" s="156">
        <f>IF($P$5=1,NL!K23,IF('Quatro Canal'!$P$5=2,EN!K23,IF('Quatro Canal'!$P$5=3,DE!K23,IF('Quatro Canal'!$P$5=4,FR!K23,))))</f>
        <v>0</v>
      </c>
      <c r="L23" s="156">
        <f>IF($P$5=1,NL!L23,IF('Quatro Canal'!$P$5=2,EN!L23,IF('Quatro Canal'!$P$5=3,DE!L23,IF('Quatro Canal'!$P$5=4,FR!L23,))))</f>
        <v>0</v>
      </c>
      <c r="M23" s="157">
        <f>IF($P$5=1,NL!M23,IF('Quatro Canal'!$P$5=2,EN!M23,IF('Quatro Canal'!$P$5=3,DE!M23,IF('Quatro Canal'!$P$5=4,FR!M23,))))</f>
        <v>0</v>
      </c>
      <c r="N23" s="83"/>
      <c r="P23" s="134" t="s">
        <v>23</v>
      </c>
    </row>
    <row r="24" spans="1:16" ht="15" x14ac:dyDescent="0.25">
      <c r="A24" s="97">
        <v>0.2</v>
      </c>
      <c r="B24" s="98">
        <v>2</v>
      </c>
      <c r="C24" s="99">
        <f>622*(($D$8+$D$9)/2-$D$10)/50</f>
        <v>404.3</v>
      </c>
      <c r="D24" s="100">
        <f>C24/(($D$8-$D$9)*1.163)</f>
        <v>23.175695041559187</v>
      </c>
      <c r="E24" s="101">
        <f>0.000045*D24^1.8</f>
        <v>1.2890551413143332E-2</v>
      </c>
      <c r="F24" s="100">
        <f>71*-((($J$8+$J$9)/2-$J$10)/10)^P24</f>
        <v>113.63816421299337</v>
      </c>
      <c r="G24" s="100">
        <f>$F24/(IF((237.3*LN(($J$11*EXP(17.27*($J$10/($J$10+237.3))))))/(17.27-LN(($J$11*EXP(17.27*($J$10/($J$10+237.3))))))&lt;($J$8+$J$9)/2,1,1/(1+((2258*((0.622/((101325/(1*611*EXP(17.27*(($J$8+$J$9)/2/(($J$8+$J$9)/2+237.3))))))-1)*1000-(0.622/((101325/($J$11*611*EXP(17.27*($J$10/($J$10+237.3))))))-1)*1000))/(1005*(($J$8+$J$9)/2-$J$10))))-((-0.000625*$B24+0.00625)*($J$10-($J$8+$J$9)/2)-(-0.000625*$B24+0.00625)*10)))</f>
        <v>157.36866448899119</v>
      </c>
      <c r="H24" s="100">
        <f>G24/(($J$9-$J$8)*1.163)</f>
        <v>22.552115862566808</v>
      </c>
      <c r="I24" s="102">
        <f>0.00009*H24^1.8</f>
        <v>2.4545938331771249E-2</v>
      </c>
      <c r="J24" s="146">
        <f t="shared" ref="J24:J28" si="6">K24-8</f>
        <v>19</v>
      </c>
      <c r="K24" s="147">
        <v>27</v>
      </c>
      <c r="L24" s="103">
        <v>1</v>
      </c>
      <c r="M24" s="104">
        <v>52</v>
      </c>
      <c r="N24" s="83"/>
      <c r="P24" s="134">
        <v>1.1599999999999999</v>
      </c>
    </row>
    <row r="25" spans="1:16" ht="15" x14ac:dyDescent="0.25">
      <c r="A25" s="97">
        <v>0.4</v>
      </c>
      <c r="B25" s="98">
        <v>4</v>
      </c>
      <c r="C25" s="99">
        <f>1015*(($D$8+$D$9)/2-$D$10)/50</f>
        <v>659.75</v>
      </c>
      <c r="D25" s="100">
        <f>C25/(($D$8-$D$9)*1.163)</f>
        <v>37.818859271997709</v>
      </c>
      <c r="E25" s="101">
        <f t="shared" ref="E25:E28" si="7">0.000045*D25^1.8</f>
        <v>3.1123446196110009E-2</v>
      </c>
      <c r="F25" s="100">
        <f>144*-((($J$8+$J$9)/2-$J$10)/10)^P25</f>
        <v>219.53178139936369</v>
      </c>
      <c r="G25" s="100">
        <f t="shared" ref="G25:G28" si="8">$F25/(IF((237.3*LN(($J$11*EXP(17.27*($J$10/($J$10+237.3))))))/(17.27-LN(($J$11*EXP(17.27*($J$10/($J$10+237.3))))))&lt;($J$8+$J$9)/2,1,1/(1+((2258*((0.622/((101325/(1*611*EXP(17.27*(($J$8+$J$9)/2/(($J$8+$J$9)/2+237.3))))))-1)*1000-(0.622/((101325/($J$11*611*EXP(17.27*($J$10/($J$10+237.3))))))-1)*1000))/(1005*(($J$8+$J$9)/2-$J$10))))-((-0.000625*$B25+0.00625)*($J$10-($J$8+$J$9)/2)-(-0.000625*$B25+0.00625)*10)))</f>
        <v>301.40381547394259</v>
      </c>
      <c r="H25" s="100">
        <f t="shared" ref="H25:H28" si="9">G25/(($J$9-$J$8)*1.163)</f>
        <v>43.193438732293295</v>
      </c>
      <c r="I25" s="102">
        <f>0.00009*H25^1.8</f>
        <v>7.9066864129993281E-2</v>
      </c>
      <c r="J25" s="146">
        <f t="shared" si="6"/>
        <v>23.9</v>
      </c>
      <c r="K25" s="147">
        <v>31.9</v>
      </c>
      <c r="L25" s="103">
        <v>1.8</v>
      </c>
      <c r="M25" s="104">
        <v>78</v>
      </c>
      <c r="N25" s="83"/>
      <c r="P25" s="134">
        <v>1.04</v>
      </c>
    </row>
    <row r="26" spans="1:16" ht="15" x14ac:dyDescent="0.25">
      <c r="A26" s="97">
        <v>0.6</v>
      </c>
      <c r="B26" s="98">
        <v>6</v>
      </c>
      <c r="C26" s="99">
        <f>1351*(($D$8+$D$9)/2-$D$10)/50</f>
        <v>878.15</v>
      </c>
      <c r="D26" s="100">
        <f t="shared" ref="D26:D28" si="10">C26/(($D$8-$D$9)*1.163)</f>
        <v>50.338205789624531</v>
      </c>
      <c r="E26" s="101">
        <f t="shared" si="7"/>
        <v>5.2074898383722874E-2</v>
      </c>
      <c r="F26" s="100">
        <f>218*-((($J$8+$J$9)/2-$J$10)/10)^P26</f>
        <v>320.43739295720638</v>
      </c>
      <c r="G26" s="100">
        <f t="shared" si="8"/>
        <v>436.19813770756639</v>
      </c>
      <c r="H26" s="100">
        <f t="shared" si="9"/>
        <v>62.51048118480459</v>
      </c>
      <c r="I26" s="102">
        <f>0.00009*H26^1.8</f>
        <v>0.15380045666784908</v>
      </c>
      <c r="J26" s="146">
        <f t="shared" si="6"/>
        <v>29</v>
      </c>
      <c r="K26" s="147">
        <v>37</v>
      </c>
      <c r="L26" s="103">
        <v>3.6</v>
      </c>
      <c r="M26" s="104">
        <v>123</v>
      </c>
      <c r="N26" s="83"/>
      <c r="P26" s="134">
        <v>0.95</v>
      </c>
    </row>
    <row r="27" spans="1:16" ht="15" x14ac:dyDescent="0.25">
      <c r="A27" s="97">
        <v>0.8</v>
      </c>
      <c r="B27" s="98">
        <v>8</v>
      </c>
      <c r="C27" s="99">
        <f>1654*(($D$8+$D$9)/2-$D$10)/50</f>
        <v>1075.0999999999999</v>
      </c>
      <c r="D27" s="100">
        <f t="shared" si="10"/>
        <v>61.627973631413006</v>
      </c>
      <c r="E27" s="101">
        <f t="shared" si="7"/>
        <v>7.4957089029330903E-2</v>
      </c>
      <c r="F27" s="100">
        <f>293*-((($J$8+$J$9)/2-$J$10)/10)^P27</f>
        <v>430.67961530486912</v>
      </c>
      <c r="G27" s="100">
        <f t="shared" si="8"/>
        <v>581.32050744226729</v>
      </c>
      <c r="H27" s="100">
        <f t="shared" si="9"/>
        <v>83.307610696799557</v>
      </c>
      <c r="I27" s="102">
        <f>0.00009*H27^1.8</f>
        <v>0.25791400855244206</v>
      </c>
      <c r="J27" s="146">
        <f t="shared" si="6"/>
        <v>36</v>
      </c>
      <c r="K27" s="147">
        <v>44</v>
      </c>
      <c r="L27" s="103">
        <v>6.5</v>
      </c>
      <c r="M27" s="104">
        <v>168</v>
      </c>
      <c r="N27" s="83"/>
      <c r="P27" s="134">
        <v>0.95</v>
      </c>
    </row>
    <row r="28" spans="1:16" ht="15" x14ac:dyDescent="0.25">
      <c r="A28" s="97">
        <v>1</v>
      </c>
      <c r="B28" s="98">
        <v>10</v>
      </c>
      <c r="C28" s="99">
        <f>1936*(($D$8+$D$9)/2-$D$10)/50</f>
        <v>1258.4000000000001</v>
      </c>
      <c r="D28" s="100">
        <f t="shared" si="10"/>
        <v>72.135282315849821</v>
      </c>
      <c r="E28" s="101">
        <f t="shared" si="7"/>
        <v>9.9512683616960571E-2</v>
      </c>
      <c r="F28" s="100">
        <f>368*-((($J$8+$J$9)/2-$J$10)/10)^P28</f>
        <v>547.54176622028524</v>
      </c>
      <c r="G28" s="100">
        <f t="shared" si="8"/>
        <v>732.87549250298025</v>
      </c>
      <c r="H28" s="100">
        <f t="shared" si="9"/>
        <v>105.0265824739152</v>
      </c>
      <c r="I28" s="102">
        <f>0.00009*H28^1.8</f>
        <v>0.39136423102033774</v>
      </c>
      <c r="J28" s="146">
        <f t="shared" si="6"/>
        <v>39.1</v>
      </c>
      <c r="K28" s="147">
        <v>47.1</v>
      </c>
      <c r="L28" s="103">
        <v>9.8000000000000007</v>
      </c>
      <c r="M28" s="104">
        <v>202</v>
      </c>
      <c r="N28" s="83"/>
      <c r="P28" s="134">
        <v>0.98</v>
      </c>
    </row>
    <row r="29" spans="1:16" ht="15" hidden="1" x14ac:dyDescent="0.25">
      <c r="A29" s="105" t="s">
        <v>14</v>
      </c>
      <c r="B29" s="106">
        <f>B22</f>
        <v>10</v>
      </c>
      <c r="C29" s="107">
        <f>IF($B$22&lt;=$B$17,(C24-0)/($B$17-0)*$B$22,IF($B$22&lt;=$B$18,(C25-C24)/($B$18-$B$17)*($B$22-$B$17)+C24,IF($B$22&lt;=$B$21,(C28-C25)/($B$21-$B$18)*($B$22-$B$18)+C25)))</f>
        <v>1258.4000000000001</v>
      </c>
      <c r="D29" s="108">
        <f>C29/(($D$8-$D$9)*1.163)</f>
        <v>72.135282315849821</v>
      </c>
      <c r="E29" s="109">
        <f>0.000115720760310885*D29^1.96267663452922</f>
        <v>0.51328009543224284</v>
      </c>
      <c r="F29" s="108">
        <f>IF($B$22&lt;=$B$17,(F24-0)/($B$17-0)*$B$22,IF($B$22&lt;=$B$18,(F25-F24)/($B$18-$B$17)*($B$22-$B$17)+F24,IF($B$22&lt;=$B$21,(F28-F25)/($B$21-$B$18)*($B$22-$B$18)+F25)))</f>
        <v>547.54176622028524</v>
      </c>
      <c r="G29" s="108"/>
      <c r="H29" s="108">
        <f>F29/(($J$9-$J$8)*1.163)</f>
        <v>78.46686245633208</v>
      </c>
      <c r="I29" s="110">
        <f>0.000115720760310885*H29^1.96267663452922</f>
        <v>0.60543536348954374</v>
      </c>
      <c r="J29" s="107">
        <f>IF($B$22&lt;=$B$17,(J24-0)/($B$17-0)*$B$22,IF($B$22&lt;=$B$18,(J25-J24)/($B$18-$B$17)*($B$22-$B$17)+J24,IF($B$22&lt;=$B$21,(J28-J25)/($B$21-$B$18)*($B$22-$B$18)+J25)))</f>
        <v>39.1</v>
      </c>
      <c r="K29" s="111">
        <f>IF($B$22&lt;=$B$17,(K24-0)/($B$17-0)*$B$22,IF($B$22&lt;=$B$18,(K25-K24)/($B$18-$B$17)*($B$22-$B$17)+K24,IF($B$22&lt;=$B$21,(K28-K25)/($B$21-$B$18)*($B$22-$B$18)+K25)))</f>
        <v>47.1</v>
      </c>
      <c r="L29" s="112">
        <f>IF($B$22&lt;=$B$17,(L24-0)/($B$17-0)*$B$22,IF($B$22&lt;=$B$18,(L25-L24)/($B$18-$B$17)*($B$22-$B$17)+L24,IF($B$22&lt;=$B$21,(L28-L25)/($B$21-$B$18)*($B$22-$B$18)+L25)))</f>
        <v>9.8000000000000007</v>
      </c>
      <c r="M29" s="111">
        <f>IF($B$22&lt;=$B$17,(M24-0)/($B$17-0)*$B$22,IF($B$22&lt;=$B$18,(M25-M24)/($B$18-$B$17)*($B$22-$B$17)+M24,IF($B$22&lt;=$B$21,(M28-M25)/($B$21-$B$18)*($B$22-$B$18)+M25)))</f>
        <v>202</v>
      </c>
      <c r="N29" s="83"/>
      <c r="P29" s="134"/>
    </row>
    <row r="30" spans="1:16" ht="18" customHeight="1" x14ac:dyDescent="0.25">
      <c r="A30" s="155" t="str">
        <f>IF($P$5=1,NL!A30,IF('Quatro Canal'!$P$5=2,EN!A30,IF('Quatro Canal'!$P$5=3,DE!A30,IF('Quatro Canal'!$P$5=4,FR!A30,))))</f>
        <v>Quatro Canal Height 13,0cm Width 27cm Length 160,8cm (Type 3)</v>
      </c>
      <c r="B30" s="156">
        <f>IF($P$5=1,NL!B30,IF('Quatro Canal'!$P$5=2,EN!B30,IF('Quatro Canal'!$P$5=3,DE!B30,IF('Quatro Canal'!$P$5=4,FR!B30,))))</f>
        <v>0</v>
      </c>
      <c r="C30" s="155">
        <f>IF($P$5=1,NL!C30,IF('Quatro Canal'!$P$5=2,EN!C30,IF('Quatro Canal'!$P$5=3,DE!C30,IF('Quatro Canal'!$P$5=4,FR!C30,))))</f>
        <v>0</v>
      </c>
      <c r="D30" s="157">
        <f>IF($P$5=1,NL!D30,IF('Quatro Canal'!$P$5=2,EN!D30,IF('Quatro Canal'!$P$5=3,DE!D30,IF('Quatro Canal'!$P$5=4,FR!D30,))))</f>
        <v>0</v>
      </c>
      <c r="E30" s="156">
        <f>IF($P$5=1,NL!E30,IF('Quatro Canal'!$P$5=2,EN!E30,IF('Quatro Canal'!$P$5=3,DE!E30,IF('Quatro Canal'!$P$5=4,FR!E30,))))</f>
        <v>0</v>
      </c>
      <c r="F30" s="156">
        <f>IF($P$5=1,NL!F30,IF('Quatro Canal'!$P$5=2,EN!F30,IF('Quatro Canal'!$P$5=3,DE!F30,IF('Quatro Canal'!$P$5=4,FR!F30,))))</f>
        <v>0</v>
      </c>
      <c r="G30" s="156">
        <f>IF($P$5=1,NL!G30,IF('Quatro Canal'!$P$5=2,EN!G30,IF('Quatro Canal'!$P$5=3,DE!G30,IF('Quatro Canal'!$P$5=4,FR!G30,))))</f>
        <v>0</v>
      </c>
      <c r="H30" s="156">
        <f>IF($P$5=1,NL!H30,IF('Quatro Canal'!$P$5=2,EN!H30,IF('Quatro Canal'!$P$5=3,DE!H30,IF('Quatro Canal'!$P$5=4,FR!H30,))))</f>
        <v>0</v>
      </c>
      <c r="I30" s="156">
        <f>IF($P$5=1,NL!I30,IF('Quatro Canal'!$P$5=2,EN!I30,IF('Quatro Canal'!$P$5=3,DE!I30,IF('Quatro Canal'!$P$5=4,FR!I30,))))</f>
        <v>0</v>
      </c>
      <c r="J30" s="155">
        <f>IF($P$5=1,NL!J30,IF('Quatro Canal'!$P$5=2,EN!J30,IF('Quatro Canal'!$P$5=3,DE!J30,IF('Quatro Canal'!$P$5=4,FR!J30,))))</f>
        <v>0</v>
      </c>
      <c r="K30" s="156">
        <f>IF($P$5=1,NL!K30,IF('Quatro Canal'!$P$5=2,EN!K30,IF('Quatro Canal'!$P$5=3,DE!K30,IF('Quatro Canal'!$P$5=4,FR!K30,))))</f>
        <v>0</v>
      </c>
      <c r="L30" s="156">
        <f>IF($P$5=1,NL!L30,IF('Quatro Canal'!$P$5=2,EN!L30,IF('Quatro Canal'!$P$5=3,DE!L30,IF('Quatro Canal'!$P$5=4,FR!L30,))))</f>
        <v>0</v>
      </c>
      <c r="M30" s="157">
        <f>IF($P$5=1,NL!M30,IF('Quatro Canal'!$P$5=2,EN!M30,IF('Quatro Canal'!$P$5=3,DE!M30,IF('Quatro Canal'!$P$5=4,FR!M30,))))</f>
        <v>0</v>
      </c>
      <c r="N30" s="83"/>
      <c r="P30" s="134" t="s">
        <v>23</v>
      </c>
    </row>
    <row r="31" spans="1:16" ht="15" x14ac:dyDescent="0.25">
      <c r="A31" s="97">
        <v>0.2</v>
      </c>
      <c r="B31" s="98">
        <v>2</v>
      </c>
      <c r="C31" s="99">
        <f>1091*(($D$8+$D$9)/2-$D$10)/50</f>
        <v>709.15</v>
      </c>
      <c r="D31" s="100">
        <f>C31/(($D$8-$D$9)*1.163)</f>
        <v>40.650616222413298</v>
      </c>
      <c r="E31" s="101">
        <f>0.0000685*D31^1.8</f>
        <v>5.3952479910031971E-2</v>
      </c>
      <c r="F31" s="100">
        <f>125*-((($J$8+$J$9)/2-$J$10)/10)^P31</f>
        <v>200.0671905158334</v>
      </c>
      <c r="G31" s="100">
        <f>$F31/(IF((237.3*LN(($J$11*EXP(17.27*($J$10/($J$10+237.3))))))/(17.27-LN(($J$11*EXP(17.27*($J$10/($J$10+237.3))))))&lt;($J$8+$J$9)/2,1,1/(1+((2258*((0.622/((101325/(1*611*EXP(17.27*(($J$8+$J$9)/2/(($J$8+$J$9)/2+237.3))))))-1)*1000-(0.622/((101325/($J$11*611*EXP(17.27*($J$10/($J$10+237.3))))))-1)*1000))/(1005*(($J$8+$J$9)/2-$J$10))))-((-0.000625*$B31+0.00625)*($J$10-($J$8+$J$9)/2)-(-0.000625*$B31+0.00625)*10)))</f>
        <v>277.05750790315346</v>
      </c>
      <c r="H31" s="100">
        <f>G31/(($J$9-$J$8)*1.163)</f>
        <v>39.70442933550494</v>
      </c>
      <c r="I31" s="102">
        <f>0.000137*H31^1.8</f>
        <v>0.10342622946566851</v>
      </c>
      <c r="J31" s="146">
        <f t="shared" ref="J31:J35" si="11">K31-8</f>
        <v>20.8</v>
      </c>
      <c r="K31" s="147">
        <v>28.8</v>
      </c>
      <c r="L31" s="103">
        <v>2</v>
      </c>
      <c r="M31" s="104">
        <v>90</v>
      </c>
      <c r="N31" s="83"/>
      <c r="P31" s="134">
        <v>1.1599999999999999</v>
      </c>
    </row>
    <row r="32" spans="1:16" ht="15" x14ac:dyDescent="0.25">
      <c r="A32" s="97">
        <v>0.4</v>
      </c>
      <c r="B32" s="98">
        <v>4</v>
      </c>
      <c r="C32" s="99">
        <f>1779*(($D$8+$D$9)/2-$D$10)/50</f>
        <v>1156.3499999999999</v>
      </c>
      <c r="D32" s="100">
        <f>C32/(($D$8-$D$9)*1.163)</f>
        <v>66.285468615649179</v>
      </c>
      <c r="E32" s="101">
        <f t="shared" ref="E32:E35" si="12">0.0000685*D32^1.8</f>
        <v>0.13008989620837666</v>
      </c>
      <c r="F32" s="100">
        <f>253*-((($J$8+$J$9)/2-$J$10)/10)^P32</f>
        <v>385.70514370860428</v>
      </c>
      <c r="G32" s="100">
        <f t="shared" ref="G32:G35" si="13">$F32/(IF((237.3*LN(($J$11*EXP(17.27*($J$10/($J$10+237.3))))))/(17.27-LN(($J$11*EXP(17.27*($J$10/($J$10+237.3))))))&lt;($J$8+$J$9)/2,1,1/(1+((2258*((0.622/((101325/(1*611*EXP(17.27*(($J$8+$J$9)/2/(($J$8+$J$9)/2+237.3))))))-1)*1000-(0.622/((101325/($J$11*611*EXP(17.27*($J$10/($J$10+237.3))))))-1)*1000))/(1005*(($J$8+$J$9)/2-$J$10))))-((-0.000625*$B32+0.00625)*($J$10-($J$8+$J$9)/2)-(-0.000625*$B32+0.00625)*10)))</f>
        <v>529.54975913130193</v>
      </c>
      <c r="H32" s="100">
        <f t="shared" ref="H32:H35" si="14">G32/(($J$9-$J$8)*1.163)</f>
        <v>75.888472217154188</v>
      </c>
      <c r="I32" s="102">
        <f>0.000137*H32^1.8</f>
        <v>0.33192275356217654</v>
      </c>
      <c r="J32" s="146">
        <f t="shared" si="11"/>
        <v>25.1</v>
      </c>
      <c r="K32" s="147">
        <v>33.1</v>
      </c>
      <c r="L32" s="103">
        <v>3.5</v>
      </c>
      <c r="M32" s="104">
        <v>133</v>
      </c>
      <c r="N32" s="83"/>
      <c r="P32" s="134">
        <v>1.04</v>
      </c>
    </row>
    <row r="33" spans="1:16" ht="15" x14ac:dyDescent="0.25">
      <c r="A33" s="97">
        <v>0.6</v>
      </c>
      <c r="B33" s="98">
        <v>6</v>
      </c>
      <c r="C33" s="99">
        <f>2367*(($D$8+$D$9)/2-$D$10)/50</f>
        <v>1538.55</v>
      </c>
      <c r="D33" s="100">
        <f t="shared" ref="D33:D35" si="15">C33/(($D$8-$D$9)*1.163)</f>
        <v>88.194325021496127</v>
      </c>
      <c r="E33" s="101">
        <f t="shared" si="12"/>
        <v>0.21751225202574923</v>
      </c>
      <c r="F33" s="100">
        <f>383*-((($J$8+$J$9)/2-$J$10)/10)^P33</f>
        <v>562.97028212206442</v>
      </c>
      <c r="G33" s="100">
        <f t="shared" si="13"/>
        <v>766.34810432109134</v>
      </c>
      <c r="H33" s="100">
        <f t="shared" si="14"/>
        <v>109.82346006321171</v>
      </c>
      <c r="I33" s="102">
        <f>0.000137*H33^1.8</f>
        <v>0.64561228739940724</v>
      </c>
      <c r="J33" s="146">
        <f t="shared" si="11"/>
        <v>31.200000000000003</v>
      </c>
      <c r="K33" s="147">
        <v>39.200000000000003</v>
      </c>
      <c r="L33" s="103">
        <v>6.5</v>
      </c>
      <c r="M33" s="104">
        <v>208</v>
      </c>
      <c r="N33" s="83"/>
      <c r="P33" s="134">
        <v>0.95</v>
      </c>
    </row>
    <row r="34" spans="1:16" ht="15" x14ac:dyDescent="0.25">
      <c r="A34" s="97">
        <v>0.8</v>
      </c>
      <c r="B34" s="98">
        <v>8</v>
      </c>
      <c r="C34" s="99">
        <f>2900*(($D$8+$D$9)/2-$D$10)/50</f>
        <v>1885</v>
      </c>
      <c r="D34" s="100">
        <f t="shared" si="15"/>
        <v>108.05388363427916</v>
      </c>
      <c r="E34" s="101">
        <f t="shared" si="12"/>
        <v>0.31350412306974446</v>
      </c>
      <c r="F34" s="100">
        <f>513*-((($J$8+$J$9)/2-$J$10)/10)^P34</f>
        <v>754.05680085801316</v>
      </c>
      <c r="G34" s="100">
        <f t="shared" si="13"/>
        <v>1017.8068952828776</v>
      </c>
      <c r="H34" s="100">
        <f t="shared" si="14"/>
        <v>145.85940029849206</v>
      </c>
      <c r="I34" s="102">
        <f>0.000137*H34^1.8</f>
        <v>1.0759758645504438</v>
      </c>
      <c r="J34" s="146">
        <f t="shared" si="11"/>
        <v>38.5</v>
      </c>
      <c r="K34" s="147">
        <v>46.5</v>
      </c>
      <c r="L34" s="103">
        <v>11.5</v>
      </c>
      <c r="M34" s="104">
        <v>285</v>
      </c>
      <c r="N34" s="83"/>
      <c r="P34" s="134">
        <v>0.95</v>
      </c>
    </row>
    <row r="35" spans="1:16" ht="15" x14ac:dyDescent="0.25">
      <c r="A35" s="97">
        <v>1</v>
      </c>
      <c r="B35" s="98">
        <v>10</v>
      </c>
      <c r="C35" s="99">
        <f>3394*(($D$8+$D$9)/2-$D$10)/50</f>
        <v>2206.1</v>
      </c>
      <c r="D35" s="100">
        <f t="shared" si="15"/>
        <v>126.46030381198051</v>
      </c>
      <c r="E35" s="101">
        <f t="shared" si="12"/>
        <v>0.41611001540224568</v>
      </c>
      <c r="F35" s="100">
        <f>645*-((($J$8+$J$9)/2-$J$10)/10)^P35</f>
        <v>959.68597611979328</v>
      </c>
      <c r="G35" s="100">
        <f t="shared" si="13"/>
        <v>1284.5236213707126</v>
      </c>
      <c r="H35" s="100">
        <f t="shared" si="14"/>
        <v>184.08191765129158</v>
      </c>
      <c r="I35" s="102">
        <f>0.000137*H35^1.8</f>
        <v>1.6358391619062072</v>
      </c>
      <c r="J35" s="146">
        <f t="shared" si="11"/>
        <v>41.6</v>
      </c>
      <c r="K35" s="147">
        <v>49.6</v>
      </c>
      <c r="L35" s="103">
        <v>17.5</v>
      </c>
      <c r="M35" s="104">
        <v>349</v>
      </c>
      <c r="N35" s="83"/>
      <c r="P35" s="134">
        <v>0.98</v>
      </c>
    </row>
    <row r="36" spans="1:16" ht="15" hidden="1" x14ac:dyDescent="0.25">
      <c r="A36" s="105" t="s">
        <v>14</v>
      </c>
      <c r="B36" s="106">
        <f>B22</f>
        <v>10</v>
      </c>
      <c r="C36" s="107">
        <f>IF($B$22&lt;=$B$17,(C31-0)/($B$17-0)*$B$22,IF($B$22&lt;=$B$18,(C34-C31)/($B$18-$B$17)*($B$22-$B$17)+C31,IF($B$22&lt;=$B$21,(C35-C34)/($B$21-$B$18)*($B$22-$B$18)+C34)))</f>
        <v>2206.1</v>
      </c>
      <c r="D36" s="108">
        <f>C36/(($D$8-$D$9)*1.163)</f>
        <v>126.46030381198051</v>
      </c>
      <c r="E36" s="109">
        <f>0.000115720760310885*D36^1.96267663452922</f>
        <v>1.5447838288070597</v>
      </c>
      <c r="F36" s="108">
        <f>IF($B$22&lt;=$B$17,(F31-0)/($B$17-0)*$B$22,IF($B$22&lt;=$B$18,(F34-F31)/($B$18-$B$17)*($B$22-$B$17)+F31,IF($B$22&lt;=$B$21,(F35-F34)/($B$21-$B$18)*($B$22-$B$18)+F34)))</f>
        <v>959.68597611979328</v>
      </c>
      <c r="G36" s="108"/>
      <c r="H36" s="108">
        <f>F36/(($J$9-$J$8)*1.163)</f>
        <v>137.53023446829943</v>
      </c>
      <c r="I36" s="110">
        <f>0.000115720760310885*H36^1.96267663452922</f>
        <v>1.8213584639332863</v>
      </c>
      <c r="J36" s="107">
        <f>IF($B$22&lt;=$B$17,(J31-0)/($B$17-0)*$B$22,IF($B$22&lt;=$B$18,(J34-J31)/($B$18-$B$17)*($B$22-$B$17)+J31,IF($B$22&lt;=$B$21,(J35-J34)/($B$21-$B$18)*($B$22-$B$18)+J34)))</f>
        <v>41.6</v>
      </c>
      <c r="K36" s="111">
        <f>IF($B$22&lt;=$B$17,(K31-0)/($B$17-0)*$B$22,IF($B$22&lt;=$B$18,(K34-K31)/($B$18-$B$17)*($B$22-$B$17)+K31,IF($B$22&lt;=$B$21,(K35-K34)/($B$21-$B$18)*($B$22-$B$18)+K34)))</f>
        <v>49.6</v>
      </c>
      <c r="L36" s="112">
        <f>IF($B$22&lt;=$B$17,(L31-0)/($B$17-0)*$B$22,IF($B$22&lt;=$B$18,(L34-L31)/($B$18-$B$17)*($B$22-$B$17)+L31,IF($B$22&lt;=$B$21,(L35-L34)/($B$21-$B$18)*($B$22-$B$18)+L34)))</f>
        <v>17.5</v>
      </c>
      <c r="M36" s="111">
        <f>IF($B$22&lt;=$B$17,(M31-0)/($B$17-0)*$B$22,IF($B$22&lt;=$B$18,(M34-M31)/($B$18-$B$17)*($B$22-$B$17)+M31,IF($B$22&lt;=$B$21,(M35-M34)/($B$21-$B$18)*($B$22-$B$18)+M34)))</f>
        <v>349</v>
      </c>
      <c r="N36" s="83"/>
      <c r="P36" s="134"/>
    </row>
    <row r="37" spans="1:16" ht="16.899999999999999" customHeight="1" x14ac:dyDescent="0.25">
      <c r="A37" s="155" t="str">
        <f>IF($P$5=1,NL!A37,IF('Quatro Canal'!$P$5=2,EN!A37,IF('Quatro Canal'!$P$5=3,DE!A37,IF('Quatro Canal'!$P$5=4,FR!A37,))))</f>
        <v>Quatro Canal Height 13,0cm Width 27cm Length 180,3cm (Type 4)</v>
      </c>
      <c r="B37" s="156">
        <f>IF($P$5=1,NL!B37,IF('Quatro Canal'!$P$5=2,EN!B37,IF('Quatro Canal'!$P$5=3,DE!B37,IF('Quatro Canal'!$P$5=4,FR!B37,))))</f>
        <v>0</v>
      </c>
      <c r="C37" s="155">
        <f>IF($P$5=1,NL!C37,IF('Quatro Canal'!$P$5=2,EN!C37,IF('Quatro Canal'!$P$5=3,DE!C37,IF('Quatro Canal'!$P$5=4,FR!C37,))))</f>
        <v>0</v>
      </c>
      <c r="D37" s="157">
        <f>IF($P$5=1,NL!D37,IF('Quatro Canal'!$P$5=2,EN!D37,IF('Quatro Canal'!$P$5=3,DE!D37,IF('Quatro Canal'!$P$5=4,FR!D37,))))</f>
        <v>0</v>
      </c>
      <c r="E37" s="156">
        <f>IF($P$5=1,NL!E37,IF('Quatro Canal'!$P$5=2,EN!E37,IF('Quatro Canal'!$P$5=3,DE!E37,IF('Quatro Canal'!$P$5=4,FR!E37,))))</f>
        <v>0</v>
      </c>
      <c r="F37" s="156">
        <f>IF($P$5=1,NL!F37,IF('Quatro Canal'!$P$5=2,EN!F37,IF('Quatro Canal'!$P$5=3,DE!F37,IF('Quatro Canal'!$P$5=4,FR!F37,))))</f>
        <v>0</v>
      </c>
      <c r="G37" s="156">
        <f>IF($P$5=1,NL!G37,IF('Quatro Canal'!$P$5=2,EN!G37,IF('Quatro Canal'!$P$5=3,DE!G37,IF('Quatro Canal'!$P$5=4,FR!G37,))))</f>
        <v>0</v>
      </c>
      <c r="H37" s="156">
        <f>IF($P$5=1,NL!H37,IF('Quatro Canal'!$P$5=2,EN!H37,IF('Quatro Canal'!$P$5=3,DE!H37,IF('Quatro Canal'!$P$5=4,FR!H37,))))</f>
        <v>0</v>
      </c>
      <c r="I37" s="156">
        <f>IF($P$5=1,NL!I37,IF('Quatro Canal'!$P$5=2,EN!I37,IF('Quatro Canal'!$P$5=3,DE!I37,IF('Quatro Canal'!$P$5=4,FR!I37,))))</f>
        <v>0</v>
      </c>
      <c r="J37" s="155">
        <f>IF($P$5=1,NL!J37,IF('Quatro Canal'!$P$5=2,EN!J37,IF('Quatro Canal'!$P$5=3,DE!J37,IF('Quatro Canal'!$P$5=4,FR!J37,))))</f>
        <v>0</v>
      </c>
      <c r="K37" s="156">
        <f>IF($P$5=1,NL!K37,IF('Quatro Canal'!$P$5=2,EN!K37,IF('Quatro Canal'!$P$5=3,DE!K37,IF('Quatro Canal'!$P$5=4,FR!K37,))))</f>
        <v>0</v>
      </c>
      <c r="L37" s="156">
        <f>IF($P$5=1,NL!L37,IF('Quatro Canal'!$P$5=2,EN!L37,IF('Quatro Canal'!$P$5=3,DE!L37,IF('Quatro Canal'!$P$5=4,FR!L37,))))</f>
        <v>0</v>
      </c>
      <c r="M37" s="157">
        <f>IF($P$5=1,NL!M37,IF('Quatro Canal'!$P$5=2,EN!M37,IF('Quatro Canal'!$P$5=3,DE!M37,IF('Quatro Canal'!$P$5=4,FR!M37,))))</f>
        <v>0</v>
      </c>
      <c r="N37" s="83"/>
      <c r="P37" s="134" t="s">
        <v>23</v>
      </c>
    </row>
    <row r="38" spans="1:16" ht="15" x14ac:dyDescent="0.25">
      <c r="A38" s="97">
        <v>0.2</v>
      </c>
      <c r="B38" s="98">
        <v>2</v>
      </c>
      <c r="C38" s="99">
        <f>1367*(($D$8+$D$9)/2-$D$10)/50</f>
        <v>888.55</v>
      </c>
      <c r="D38" s="100">
        <f>C38/(($D$8-$D$9)*1.163)</f>
        <v>50.934365147606762</v>
      </c>
      <c r="E38" s="101">
        <f>0.000088*D38^1.8</f>
        <v>0.10401651226143424</v>
      </c>
      <c r="F38" s="100">
        <f>156*-((($J$8+$J$9)/2-$J$10)/10)^P38</f>
        <v>249.68385376376008</v>
      </c>
      <c r="G38" s="100">
        <f>$F38/(IF((237.3*LN(($J$11*EXP(17.27*($J$10/($J$10+237.3))))))/(17.27-LN(($J$11*EXP(17.27*($J$10/($J$10+237.3))))))&lt;($J$8+$J$9)/2,1,1/(1+((2258*((0.622/((101325/(1*611*EXP(17.27*(($J$8+$J$9)/2/(($J$8+$J$9)/2+237.3))))))-1)*1000-(0.622/((101325/($J$11*611*EXP(17.27*($J$10/($J$10+237.3))))))-1)*1000))/(1005*(($J$8+$J$9)/2-$J$10))))-((-0.000625*$B38+0.00625)*($J$10-($J$8+$J$9)/2)-(-0.000625*$B38+0.00625)*10)))</f>
        <v>345.76776986313553</v>
      </c>
      <c r="H38" s="100">
        <f>G38/(($J$9-$J$8)*1.163)</f>
        <v>49.551127810710163</v>
      </c>
      <c r="I38" s="102">
        <f>0.000175*H38^1.8</f>
        <v>0.19684955047325708</v>
      </c>
      <c r="J38" s="146">
        <f t="shared" ref="J38:J42" si="16">K38-8</f>
        <v>22.1</v>
      </c>
      <c r="K38" s="147">
        <v>30.1</v>
      </c>
      <c r="L38" s="103">
        <v>2</v>
      </c>
      <c r="M38" s="104">
        <v>104</v>
      </c>
      <c r="N38" s="83"/>
      <c r="P38" s="134">
        <v>1.1599999999999999</v>
      </c>
    </row>
    <row r="39" spans="1:16" ht="15" x14ac:dyDescent="0.25">
      <c r="A39" s="97">
        <v>0.4</v>
      </c>
      <c r="B39" s="98">
        <v>4</v>
      </c>
      <c r="C39" s="99">
        <f>2229*(($D$8+$D$9)/2-$D$10)/50</f>
        <v>1448.85</v>
      </c>
      <c r="D39" s="100">
        <f>C39/(($D$8-$D$9)*1.163)</f>
        <v>83.052450558899395</v>
      </c>
      <c r="E39" s="101">
        <f t="shared" ref="E39:E42" si="17">0.000088*D39^1.8</f>
        <v>0.25079396670631332</v>
      </c>
      <c r="F39" s="100">
        <f>317*-((($J$8+$J$9)/2-$J$10)/10)^P39</f>
        <v>483.27482433054371</v>
      </c>
      <c r="G39" s="100">
        <f t="shared" ref="G39:G42" si="18">$F39/(IF((237.3*LN(($J$11*EXP(17.27*($J$10/($J$10+237.3))))))/(17.27-LN(($J$11*EXP(17.27*($J$10/($J$10+237.3))))))&lt;($J$8+$J$9)/2,1,1/(1+((2258*((0.622/((101325/(1*611*EXP(17.27*(($J$8+$J$9)/2/(($J$8+$J$9)/2+237.3))))))-1)*1000-(0.622/((101325/($J$11*611*EXP(17.27*($J$10/($J$10+237.3))))))-1)*1000))/(1005*(($J$8+$J$9)/2-$J$10))))-((-0.000625*$B39+0.00625)*($J$10-($J$8+$J$9)/2)-(-0.000625*$B39+0.00625)*10)))</f>
        <v>663.50701045305425</v>
      </c>
      <c r="H39" s="100">
        <f t="shared" ref="H39:H42" si="19">G39/(($J$9-$J$8)*1.163)</f>
        <v>95.085556098173441</v>
      </c>
      <c r="I39" s="102">
        <f>0.000175*H39^1.8</f>
        <v>0.63627409228596254</v>
      </c>
      <c r="J39" s="146">
        <f t="shared" si="16"/>
        <v>26.9</v>
      </c>
      <c r="K39" s="147">
        <v>34.9</v>
      </c>
      <c r="L39" s="103">
        <v>3.6</v>
      </c>
      <c r="M39" s="104">
        <v>156</v>
      </c>
      <c r="N39" s="83"/>
      <c r="P39" s="134">
        <v>1.04</v>
      </c>
    </row>
    <row r="40" spans="1:16" ht="15" x14ac:dyDescent="0.25">
      <c r="A40" s="97">
        <v>0.6</v>
      </c>
      <c r="B40" s="98">
        <v>6</v>
      </c>
      <c r="C40" s="99">
        <f>2967*(($D$8+$D$9)/2-$D$10)/50</f>
        <v>1928.55</v>
      </c>
      <c r="D40" s="100">
        <f t="shared" ref="D40:D42" si="20">C40/(($D$8-$D$9)*1.163)</f>
        <v>110.55030094582975</v>
      </c>
      <c r="E40" s="101">
        <f t="shared" si="17"/>
        <v>0.4196532053721988</v>
      </c>
      <c r="F40" s="100">
        <f>480*-((($J$8+$J$9)/2-$J$10)/10)^P40</f>
        <v>705.55022302504153</v>
      </c>
      <c r="G40" s="100">
        <f t="shared" si="18"/>
        <v>960.43626651207262</v>
      </c>
      <c r="H40" s="100">
        <f t="shared" si="19"/>
        <v>137.63775673718439</v>
      </c>
      <c r="I40" s="102">
        <f>0.000175*H40^1.8</f>
        <v>1.2381284499689063</v>
      </c>
      <c r="J40" s="146">
        <f t="shared" si="16"/>
        <v>32</v>
      </c>
      <c r="K40" s="147">
        <v>40</v>
      </c>
      <c r="L40" s="103">
        <v>7.2</v>
      </c>
      <c r="M40" s="104">
        <v>246</v>
      </c>
      <c r="N40" s="83"/>
      <c r="P40" s="134">
        <v>0.95</v>
      </c>
    </row>
    <row r="41" spans="1:16" ht="15" x14ac:dyDescent="0.25">
      <c r="A41" s="97">
        <v>0.8</v>
      </c>
      <c r="B41" s="98">
        <v>8</v>
      </c>
      <c r="C41" s="99">
        <f>3635*(($D$8+$D$9)/2-$D$10)/50</f>
        <v>2362.75</v>
      </c>
      <c r="D41" s="100">
        <f t="shared" si="20"/>
        <v>135.43995414158783</v>
      </c>
      <c r="E41" s="101">
        <f t="shared" si="17"/>
        <v>0.60482106510105926</v>
      </c>
      <c r="F41" s="100">
        <f>643*-((($J$8+$J$9)/2-$J$10)/10)^P41</f>
        <v>945.14331959396191</v>
      </c>
      <c r="G41" s="100">
        <f t="shared" si="18"/>
        <v>1275.7306699159653</v>
      </c>
      <c r="H41" s="100">
        <f t="shared" si="19"/>
        <v>182.8218214267649</v>
      </c>
      <c r="I41" s="102">
        <f>0.000175*H41^1.8</f>
        <v>2.0638993072631147</v>
      </c>
      <c r="J41" s="146">
        <f t="shared" si="16"/>
        <v>39</v>
      </c>
      <c r="K41" s="147">
        <v>47</v>
      </c>
      <c r="L41" s="103">
        <v>13</v>
      </c>
      <c r="M41" s="104">
        <v>336</v>
      </c>
      <c r="N41" s="83"/>
      <c r="P41" s="134">
        <v>0.95</v>
      </c>
    </row>
    <row r="42" spans="1:16" ht="15" x14ac:dyDescent="0.25">
      <c r="A42" s="113">
        <v>1</v>
      </c>
      <c r="B42" s="114">
        <v>10</v>
      </c>
      <c r="C42" s="115">
        <f>4255*(($D$8+$D$9)/2-$D$10)/50</f>
        <v>2765.75</v>
      </c>
      <c r="D42" s="116">
        <f t="shared" si="20"/>
        <v>158.54112926339926</v>
      </c>
      <c r="E42" s="117">
        <f t="shared" si="17"/>
        <v>0.80304184706379189</v>
      </c>
      <c r="F42" s="116">
        <f>808*-((($J$8+$J$9)/2-$J$10)/10)^P42</f>
        <v>1202.2112693097565</v>
      </c>
      <c r="G42" s="116">
        <f t="shared" si="18"/>
        <v>1609.1396683217608</v>
      </c>
      <c r="H42" s="116">
        <f t="shared" si="19"/>
        <v>230.60184412750945</v>
      </c>
      <c r="I42" s="118">
        <f>0.000175*H42^1.8</f>
        <v>3.1346643556207843</v>
      </c>
      <c r="J42" s="148">
        <f t="shared" si="16"/>
        <v>42.1</v>
      </c>
      <c r="K42" s="149">
        <v>50.1</v>
      </c>
      <c r="L42" s="103">
        <v>19.7</v>
      </c>
      <c r="M42" s="119">
        <v>404</v>
      </c>
      <c r="N42" s="83"/>
      <c r="P42" s="134">
        <v>0.98</v>
      </c>
    </row>
    <row r="43" spans="1:16" ht="15" hidden="1" x14ac:dyDescent="0.25">
      <c r="A43" s="120" t="s">
        <v>14</v>
      </c>
      <c r="B43" s="121">
        <f>B22</f>
        <v>10</v>
      </c>
      <c r="C43" s="122">
        <f>IF($B$22&lt;=$B$17,(C38-0)/($B$17-0)*$B$22,IF($B$22&lt;=$B$18,(C41-C38)/($B$18-$B$17)*($B$22-$B$17)+C38,IF($B$22&lt;=$B$21,(C42-C41)/($B$21-$B$18)*($B$22-$B$18)+C41)))</f>
        <v>2765.75</v>
      </c>
      <c r="D43" s="123">
        <f>C43/(($D$8-$D$9)*1.163)</f>
        <v>158.54112926339926</v>
      </c>
      <c r="E43" s="124">
        <f>0.000115720760310885*D43^1.96267663452922</f>
        <v>2.407567493690316</v>
      </c>
      <c r="F43" s="123">
        <f>IF($B$22&lt;=$B$17,(F38-0)/($B$17-0)*$B$22,IF($B$22&lt;=$B$18,(F41-F38)/($B$18-$B$17)*($B$22-$B$17)+F38,IF($B$22&lt;=$B$21,(F42-F41)/($B$21-$B$18)*($B$22-$B$18)+F41)))</f>
        <v>1202.2112693097565</v>
      </c>
      <c r="G43" s="123"/>
      <c r="H43" s="123">
        <f>F43/(($J$9-$J$8)*1.163)</f>
        <v>172.28593713238129</v>
      </c>
      <c r="I43" s="125">
        <f>0.000115720760310885*H43^1.96267663452922</f>
        <v>2.8343049012936476</v>
      </c>
      <c r="J43" s="122">
        <f>IF($B$22&lt;=$B$17,(J38-0)/($B$17-0)*$B$22,IF($B$22&lt;=$B$18,(J41-J38)/($B$18-$B$17)*($B$22-$B$17)+J38,IF($B$22&lt;=$B$21,(J42-J41)/($B$21-$B$18)*($B$22-$B$18)+J41)))</f>
        <v>42.1</v>
      </c>
      <c r="K43" s="126">
        <f>IF($B$22&lt;=$B$17,(K38-0)/($B$17-0)*$B$22,IF($B$22&lt;=$B$18,(K41-K38)/($B$18-$B$17)*($B$22-$B$17)+K38,IF($B$22&lt;=$B$21,(K42-K41)/($B$21-$B$18)*($B$22-$B$18)+K41)))</f>
        <v>50.1</v>
      </c>
      <c r="L43" s="127">
        <f>IF($B$22&lt;=$B$17,(L38-0)/($B$17-0)*$B$22,IF($B$22&lt;=$B$18,(L41-L38)/($B$18-$B$17)*($B$22-$B$17)+L38,IF($B$22&lt;=$B$21,(L42-L41)/($B$21-$B$18)*($B$22-$B$18)+L41)))</f>
        <v>19.7</v>
      </c>
      <c r="M43" s="126">
        <f>IF($B$22&lt;=$B$17,(M38-0)/($B$17-0)*$B$22,IF($B$22&lt;=$B$18,(M41-M38)/($B$18-$B$17)*($B$22-$B$17)+M38,IF($B$22&lt;=$B$21,(M42-M41)/($B$21-$B$18)*($B$22-$B$18)+M41)))</f>
        <v>404</v>
      </c>
      <c r="N43" s="83"/>
    </row>
    <row r="44" spans="1:16" ht="9.4" customHeight="1" x14ac:dyDescent="0.25">
      <c r="A44" s="128" t="str">
        <f>IF($P$5=1,NL!A44,IF('Quatro Canal'!$P$5=2,EN!A44,IF('Quatro Canal'!$P$5=3,DE!A44,IF('Quatro Canal'!$P$5=4,FR!A44,))))</f>
        <v>*Values according to EN 16430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129"/>
      <c r="M44" s="130" t="s">
        <v>109</v>
      </c>
      <c r="N44" s="83"/>
    </row>
    <row r="45" spans="1:16" ht="9.4" customHeight="1" x14ac:dyDescent="0.25">
      <c r="A45" s="128" t="str">
        <f>IF($P$5=1,NL!A45,IF('Quatro Canal'!$P$5=2,EN!A45,IF('Quatro Canal'!$P$5=3,DE!A45,IF('Quatro Canal'!$P$5=4,FR!A45,))))</f>
        <v>**Sound power according to ISO 3741:2010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83"/>
    </row>
    <row r="46" spans="1:16" ht="9.4" customHeight="1" x14ac:dyDescent="0.25">
      <c r="A46" s="128" t="str">
        <f>IF($P$5=1,NL!A46,IF('Quatro Canal'!$P$5=2,EN!A46,IF('Quatro Canal'!$P$5=3,DE!A46,IF('Quatro Canal'!$P$5=4,FR!A46,))))</f>
        <v>***Sound pressure with an assumed room damping of 8dB(A)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83"/>
    </row>
    <row r="47" spans="1:16" s="71" customFormat="1" ht="16.149999999999999" hidden="1" customHeight="1" x14ac:dyDescent="0.25"/>
    <row r="48" spans="1:16" ht="15" hidden="1" x14ac:dyDescent="0.25"/>
    <row r="49" ht="15" hidden="1" x14ac:dyDescent="0.25"/>
    <row r="50" ht="15" hidden="1" x14ac:dyDescent="0.25"/>
    <row r="51" ht="15" hidden="1" x14ac:dyDescent="0.25"/>
    <row r="52" ht="15" hidden="1" x14ac:dyDescent="0.25"/>
    <row r="53" ht="15" hidden="1" x14ac:dyDescent="0.25"/>
    <row r="54" ht="15" hidden="1" x14ac:dyDescent="0.25"/>
  </sheetData>
  <sheetProtection algorithmName="SHA-512" hashValue="5nOqnF1a2TDH9wYPn3iiI37MTGsgiPTzh+GLAUDKbjgrvYsGfvD2/xPWQS/s4v7OP63z+ltJ3MTMFFm/eCQdKw==" saltValue="ePd64Zdhy39gv4mHCH/j/Q==" spinCount="100000" sheet="1" selectLockedCells="1"/>
  <dataConsolidate/>
  <mergeCells count="12">
    <mergeCell ref="A30:M30"/>
    <mergeCell ref="A37:M37"/>
    <mergeCell ref="A10:C10"/>
    <mergeCell ref="F10:I10"/>
    <mergeCell ref="A12:D12"/>
    <mergeCell ref="A16:M16"/>
    <mergeCell ref="A23:M23"/>
    <mergeCell ref="F2:I2"/>
    <mergeCell ref="A8:C8"/>
    <mergeCell ref="F8:I8"/>
    <mergeCell ref="A9:C9"/>
    <mergeCell ref="F9:I9"/>
  </mergeCells>
  <dataValidations count="8">
    <dataValidation type="whole" errorStyle="information" allowBlank="1" showErrorMessage="1" error="Eingabe außerhalb des gültigen Bereichs." prompt="Eingabe zwischen 0% und 100%" sqref="E12" xr:uid="{00000000-0002-0000-0000-000000000000}">
      <formula1>0</formula1>
      <formula2>100</formula2>
    </dataValidation>
    <dataValidation type="whole" errorStyle="information" allowBlank="1" showErrorMessage="1" error="Eingabe außerhalb des gültigen Bereichs." prompt="20°C bis 35°C" sqref="J10" xr:uid="{00000000-0002-0000-0000-000001000000}">
      <formula1>20</formula1>
      <formula2>35</formula2>
    </dataValidation>
    <dataValidation type="whole" errorStyle="information" allowBlank="1" showErrorMessage="1" error="Eingabe außerhalb des gültigen Bereichs." prompt="Eingabe zwischen 16°C bis 30°C" sqref="D10" xr:uid="{00000000-0002-0000-0000-000002000000}">
      <formula1>16</formula1>
      <formula2>30</formula2>
    </dataValidation>
    <dataValidation type="whole" errorStyle="information" allowBlank="1" showErrorMessage="1" error="Eingabe außerhalb des gültigen Bereichs." prompt="Eingabe zwischen Vorlauftemp. und Raumtemp." sqref="D9" xr:uid="{00000000-0002-0000-0000-000003000000}">
      <formula1>D10</formula1>
      <formula2>D8</formula2>
    </dataValidation>
    <dataValidation type="whole" errorStyle="information" allowBlank="1" showErrorMessage="1" error="Temperatur außerhalb des gütligen Bereichs." prompt="Eingabe zwischen 30°C bis 95°C" sqref="D8" xr:uid="{00000000-0002-0000-0000-000004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J9" xr:uid="{00000000-0002-0000-0000-000005000000}">
      <formula1>J8</formula1>
      <formula2>J10</formula2>
    </dataValidation>
    <dataValidation type="whole" errorStyle="information" allowBlank="1" showErrorMessage="1" error="Eingabe außerhalb des gültigen Bereichs." prompt="Eingabe zwischen 5°C bis 20°C" sqref="J8" xr:uid="{00000000-0002-0000-0000-000006000000}">
      <formula1>5</formula1>
      <formula2>20</formula2>
    </dataValidation>
    <dataValidation type="decimal" errorStyle="information" allowBlank="1" showErrorMessage="1" error="Eingabe außerhalb des gültigen Bereichs." prompt="20°C bis 35°C" sqref="J11" xr:uid="{00000000-0002-0000-0000-000007000000}">
      <formula1>0.01</formula1>
      <formula2>1</formula2>
    </dataValidation>
  </dataValidations>
  <pageMargins left="0.5" right="0.47222222222222221" top="1.0555555555555556" bottom="0.81944444444444442" header="0.43055555555555558" footer="0.40277777777777779"/>
  <pageSetup paperSize="9" scale="92" orientation="portrait" r:id="rId1"/>
  <headerFooter>
    <oddHeader>&amp;L&amp;G&amp;C&amp;16&amp;K00-040CLIMA CANAL  AUSLEGUNG
Heizen &amp; Kühlen</oddHeader>
    <oddFooter>&amp;C&amp;8JAGA Deutschland GmbH • Neuer Zollhof 1 • 40221 Düsseldorf  • T +49 (0) 211 310 27 30 • info@jaga.de • www.jaga-deutschland.de_x000D_KBC Iban: DE58 3052 4400 0000 2837 88  • Bic: KREDDEDDXXX  • Amtsgericht Düsseldorf  • HRB32157 • UST Nr: DE174665903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Drop Down 1">
              <controlPr locked="0" defaultSize="0" autoLine="0" autoPict="0">
                <anchor moveWithCells="1">
                  <from>
                    <xdr:col>9</xdr:col>
                    <xdr:colOff>38100</xdr:colOff>
                    <xdr:row>1</xdr:row>
                    <xdr:rowOff>0</xdr:rowOff>
                  </from>
                  <to>
                    <xdr:col>12</xdr:col>
                    <xdr:colOff>190500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4"/>
  <sheetViews>
    <sheetView workbookViewId="0">
      <selection activeCell="M45" sqref="M45"/>
    </sheetView>
  </sheetViews>
  <sheetFormatPr defaultColWidth="0" defaultRowHeight="15" zeroHeight="1" x14ac:dyDescent="0.25"/>
  <cols>
    <col min="1" max="1" width="7" style="1" customWidth="1"/>
    <col min="2" max="2" width="6.140625" style="1" customWidth="1"/>
    <col min="3" max="3" width="7" style="1" customWidth="1"/>
    <col min="4" max="4" width="6.7109375" style="1" customWidth="1"/>
    <col min="5" max="13" width="7" style="1" customWidth="1"/>
    <col min="14" max="14" width="2.140625" style="1" customWidth="1"/>
    <col min="15" max="16384" width="11.42578125" style="1" hidden="1"/>
  </cols>
  <sheetData>
    <row r="1" spans="1:16" s="3" customFormat="1" x14ac:dyDescent="0.25">
      <c r="A1" s="22"/>
    </row>
    <row r="2" spans="1:16" s="3" customFormat="1" x14ac:dyDescent="0.25">
      <c r="A2" s="24" t="s">
        <v>37</v>
      </c>
      <c r="B2" s="23"/>
    </row>
    <row r="3" spans="1:16" s="3" customFormat="1" x14ac:dyDescent="0.25">
      <c r="A3" s="22"/>
    </row>
    <row r="4" spans="1:16" s="3" customFormat="1" x14ac:dyDescent="0.25">
      <c r="A4" s="36" t="s">
        <v>36</v>
      </c>
    </row>
    <row r="5" spans="1:16" s="3" customFormat="1" ht="6" customHeight="1" x14ac:dyDescent="0.2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</row>
    <row r="6" spans="1:16" x14ac:dyDescent="0.25">
      <c r="A6" s="13" t="s">
        <v>10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14"/>
    </row>
    <row r="7" spans="1:16" x14ac:dyDescent="0.25">
      <c r="A7" s="13" t="s">
        <v>24</v>
      </c>
      <c r="B7" s="8"/>
      <c r="C7" s="8"/>
      <c r="D7" s="8"/>
      <c r="E7" s="8"/>
      <c r="F7" s="9" t="s">
        <v>25</v>
      </c>
      <c r="G7" s="9"/>
      <c r="H7" s="9"/>
      <c r="I7" s="8"/>
      <c r="J7" s="8"/>
      <c r="K7" s="8"/>
      <c r="L7" s="37"/>
      <c r="M7" s="14"/>
    </row>
    <row r="8" spans="1:16" x14ac:dyDescent="0.25">
      <c r="A8" s="160" t="s">
        <v>26</v>
      </c>
      <c r="B8" s="161"/>
      <c r="C8" s="161"/>
      <c r="D8" s="86">
        <f>'Quatro Canal'!D8</f>
        <v>60</v>
      </c>
      <c r="E8" s="69"/>
      <c r="F8" s="161" t="s">
        <v>26</v>
      </c>
      <c r="G8" s="161"/>
      <c r="H8" s="161"/>
      <c r="I8" s="161"/>
      <c r="J8" s="86">
        <f>'Quatro Canal'!J8</f>
        <v>8</v>
      </c>
      <c r="K8" s="8"/>
      <c r="L8" s="8"/>
      <c r="M8" s="14"/>
    </row>
    <row r="9" spans="1:16" x14ac:dyDescent="0.25">
      <c r="A9" s="160" t="s">
        <v>27</v>
      </c>
      <c r="B9" s="161"/>
      <c r="C9" s="161"/>
      <c r="D9" s="86">
        <f>'Quatro Canal'!D9</f>
        <v>45</v>
      </c>
      <c r="E9" s="69"/>
      <c r="F9" s="161" t="s">
        <v>27</v>
      </c>
      <c r="G9" s="161"/>
      <c r="H9" s="161"/>
      <c r="I9" s="161"/>
      <c r="J9" s="86">
        <f>'Quatro Canal'!J9</f>
        <v>14</v>
      </c>
      <c r="K9" s="8"/>
      <c r="L9" s="8"/>
      <c r="M9" s="14"/>
    </row>
    <row r="10" spans="1:16" x14ac:dyDescent="0.25">
      <c r="A10" s="160" t="s">
        <v>28</v>
      </c>
      <c r="B10" s="161"/>
      <c r="C10" s="161"/>
      <c r="D10" s="86">
        <f>'Quatro Canal'!D10</f>
        <v>20</v>
      </c>
      <c r="E10" s="69"/>
      <c r="F10" s="161" t="s">
        <v>28</v>
      </c>
      <c r="G10" s="161"/>
      <c r="H10" s="161"/>
      <c r="I10" s="161"/>
      <c r="J10" s="86">
        <f>'Quatro Canal'!J10</f>
        <v>26</v>
      </c>
      <c r="K10" s="8"/>
      <c r="L10" s="8"/>
      <c r="M10" s="14"/>
    </row>
    <row r="11" spans="1:16" x14ac:dyDescent="0.25">
      <c r="A11" s="15"/>
      <c r="B11" s="8"/>
      <c r="C11" s="8"/>
      <c r="D11" s="8"/>
      <c r="E11" s="8"/>
      <c r="F11" s="8" t="s">
        <v>62</v>
      </c>
      <c r="G11" s="8"/>
      <c r="H11" s="8"/>
      <c r="I11" s="8"/>
      <c r="J11" s="89">
        <f>'Quatro Canal'!J11</f>
        <v>0.5</v>
      </c>
      <c r="K11" s="8"/>
      <c r="L11" s="8"/>
      <c r="M11" s="14"/>
    </row>
    <row r="12" spans="1:16" ht="13.9" hidden="1" customHeight="1" x14ac:dyDescent="0.25">
      <c r="A12" s="162" t="s">
        <v>12</v>
      </c>
      <c r="B12" s="163"/>
      <c r="C12" s="163"/>
      <c r="D12" s="163"/>
      <c r="E12" s="39">
        <v>100</v>
      </c>
      <c r="F12" s="8" t="s">
        <v>13</v>
      </c>
      <c r="G12" s="8"/>
      <c r="H12" s="8"/>
      <c r="I12" s="8" t="s">
        <v>18</v>
      </c>
      <c r="J12" s="8" t="s">
        <v>17</v>
      </c>
      <c r="K12" s="8"/>
      <c r="L12" s="8"/>
      <c r="M12" s="14"/>
    </row>
    <row r="13" spans="1:16" ht="6" customHeight="1" x14ac:dyDescent="0.25">
      <c r="A13" s="16"/>
      <c r="B13" s="17"/>
      <c r="C13" s="17"/>
      <c r="D13" s="17"/>
      <c r="E13" s="18"/>
      <c r="F13" s="18"/>
      <c r="G13" s="18"/>
      <c r="H13" s="18"/>
      <c r="I13" s="18"/>
      <c r="J13" s="18"/>
      <c r="K13" s="18"/>
      <c r="L13" s="18"/>
      <c r="M13" s="19"/>
    </row>
    <row r="14" spans="1:16" x14ac:dyDescent="0.2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</row>
    <row r="15" spans="1:16" s="2" customFormat="1" ht="95.45" customHeight="1" x14ac:dyDescent="0.25">
      <c r="A15" s="27" t="s">
        <v>35</v>
      </c>
      <c r="B15" s="20" t="s">
        <v>29</v>
      </c>
      <c r="C15" s="27" t="str">
        <f>CONCATENATE("Warmteafgifte * ",D8,"/",D9,"/",D10," [W]")</f>
        <v>Warmteafgifte * 60/45/20 [W]</v>
      </c>
      <c r="D15" s="40" t="s">
        <v>34</v>
      </c>
      <c r="E15" s="44" t="s">
        <v>56</v>
      </c>
      <c r="F15" s="20" t="str">
        <f>CONCATENATE("Voelb. Koelcapaciteit * ",J8,"/",J9,"/",J10," [W]")</f>
        <v>Voelb. Koelcapaciteit * 8/14/26 [W]</v>
      </c>
      <c r="G15" s="20" t="str">
        <f>CONCATENATE("Tot. koelcapaciteit ",J8,"/",J9,"/",J10," [W]")</f>
        <v>Tot. koelcapaciteit 8/14/26 [W]</v>
      </c>
      <c r="H15" s="20" t="s">
        <v>33</v>
      </c>
      <c r="I15" s="21" t="s">
        <v>56</v>
      </c>
      <c r="J15" s="27" t="s">
        <v>30</v>
      </c>
      <c r="K15" s="43" t="s">
        <v>80</v>
      </c>
      <c r="L15" s="20" t="s">
        <v>32</v>
      </c>
      <c r="M15" s="26" t="s">
        <v>31</v>
      </c>
    </row>
    <row r="16" spans="1:16" ht="18" customHeight="1" x14ac:dyDescent="0.25">
      <c r="A16" s="164" t="s">
        <v>93</v>
      </c>
      <c r="B16" s="165"/>
      <c r="C16" s="164"/>
      <c r="D16" s="166"/>
      <c r="E16" s="165"/>
      <c r="F16" s="165"/>
      <c r="G16" s="165"/>
      <c r="H16" s="165"/>
      <c r="I16" s="165"/>
      <c r="J16" s="164"/>
      <c r="K16" s="165"/>
      <c r="L16" s="165"/>
      <c r="M16" s="166"/>
      <c r="P16" s="64" t="s">
        <v>23</v>
      </c>
    </row>
    <row r="17" spans="1:16" x14ac:dyDescent="0.25">
      <c r="A17" s="45"/>
      <c r="B17" s="4"/>
      <c r="C17" s="34"/>
      <c r="D17" s="5"/>
      <c r="E17" s="42"/>
      <c r="F17" s="5"/>
      <c r="G17" s="5"/>
      <c r="H17" s="5"/>
      <c r="I17" s="6"/>
      <c r="J17" s="34"/>
      <c r="K17" s="61"/>
      <c r="L17" s="66"/>
      <c r="M17" s="46"/>
      <c r="P17" s="64">
        <v>0.6</v>
      </c>
    </row>
    <row r="18" spans="1:16" x14ac:dyDescent="0.25">
      <c r="A18" s="45"/>
      <c r="B18" s="4"/>
      <c r="C18" s="34"/>
      <c r="D18" s="5"/>
      <c r="E18" s="42"/>
      <c r="F18" s="5"/>
      <c r="G18" s="5"/>
      <c r="H18" s="5"/>
      <c r="I18" s="6"/>
      <c r="J18" s="34"/>
      <c r="K18" s="61"/>
      <c r="L18" s="66"/>
      <c r="M18" s="46"/>
      <c r="P18" s="64">
        <v>0.68</v>
      </c>
    </row>
    <row r="19" spans="1:16" x14ac:dyDescent="0.25">
      <c r="A19" s="45"/>
      <c r="B19" s="4"/>
      <c r="C19" s="34"/>
      <c r="D19" s="5"/>
      <c r="E19" s="42"/>
      <c r="F19" s="5"/>
      <c r="G19" s="5"/>
      <c r="H19" s="5"/>
      <c r="I19" s="6"/>
      <c r="J19" s="34"/>
      <c r="K19" s="61"/>
      <c r="L19" s="66"/>
      <c r="M19" s="46"/>
      <c r="P19" s="64">
        <v>0.79</v>
      </c>
    </row>
    <row r="20" spans="1:16" x14ac:dyDescent="0.25">
      <c r="A20" s="45"/>
      <c r="B20" s="4"/>
      <c r="C20" s="34"/>
      <c r="D20" s="5"/>
      <c r="E20" s="42"/>
      <c r="F20" s="5"/>
      <c r="G20" s="5"/>
      <c r="H20" s="5"/>
      <c r="I20" s="6"/>
      <c r="J20" s="34"/>
      <c r="K20" s="61"/>
      <c r="L20" s="66"/>
      <c r="M20" s="46"/>
      <c r="P20" s="64">
        <v>0.87</v>
      </c>
    </row>
    <row r="21" spans="1:16" x14ac:dyDescent="0.25">
      <c r="A21" s="45"/>
      <c r="B21" s="4"/>
      <c r="C21" s="34"/>
      <c r="D21" s="5"/>
      <c r="E21" s="42"/>
      <c r="F21" s="5"/>
      <c r="G21" s="5"/>
      <c r="H21" s="5"/>
      <c r="I21" s="6"/>
      <c r="J21" s="34"/>
      <c r="K21" s="61"/>
      <c r="L21" s="66"/>
      <c r="M21" s="46"/>
      <c r="P21" s="64">
        <v>0.91</v>
      </c>
    </row>
    <row r="22" spans="1:16" hidden="1" x14ac:dyDescent="0.25">
      <c r="A22" s="28" t="s">
        <v>14</v>
      </c>
      <c r="B22" s="33">
        <f>E12/10</f>
        <v>10</v>
      </c>
      <c r="C22" s="35" t="b">
        <f>IF($B$22&lt;=$B$17,(C17-0)/($B$17-0)*$B$22,IF($B$22&lt;=$B$18,(C18-C17)/($B$18-$B$17)*($B$22-$B$17)+C17,IF($B$22&lt;=$B$21,(C21-C18)/($B$21-$B$18)*($B$22-$B$18)+C18)))</f>
        <v>0</v>
      </c>
      <c r="D22" s="29">
        <f>C22/(($D$8-$D$9)*1.163)</f>
        <v>0</v>
      </c>
      <c r="E22" s="41">
        <f>0.000115720760310885*D22^1.96267663452922</f>
        <v>0</v>
      </c>
      <c r="F22" s="29" t="b">
        <f>IF($B$22&lt;=$B$17,(F17-0)/($B$17-0)*$B$22,IF($B$22&lt;=$B$18,(F18-F17)/($B$18-$B$17)*($B$22-$B$17)+F17,IF($B$22&lt;=$B$21,(F21-F18)/($B$21-$B$18)*($B$22-$B$18)+F18)))</f>
        <v>0</v>
      </c>
      <c r="G22" s="5">
        <f t="shared" ref="G22" si="0">$F22/(IF((237.3*LN(($J$11*EXP(17.27*($J$10/($J$10+237.3))))))/(17.27-LN(($J$11*EXP(17.27*($J$10/($J$10+237.3))))))&lt;($J$8+$J$9)/2,1,1/(1+((2258*((0.622/((101325/(1*611*EXP(17.27*(($J$8+$J$9)/2/(($J$8+$J$9)/2+237.3))))))-1)*1000-(0.622/((101325/($J$11*611*EXP(17.27*($J$10/($J$10+237.3))))))-1)*1000))/(1005*(($J$8+$J$9)/2-$J$10))))-((-0.000625*$B22+0.00625)*($J$10-($J$8+$J$9)/2)-(-0.000625*$B22+0.00625)*10)))</f>
        <v>0</v>
      </c>
      <c r="H22" s="29">
        <f>F22/(($J$9-$J$8)*1.163)</f>
        <v>0</v>
      </c>
      <c r="I22" s="30">
        <f>0.000115720760310885*H22^1.96267663452922</f>
        <v>0</v>
      </c>
      <c r="J22" s="35" t="b">
        <f>IF($B$22&lt;=$B$17,(J17-0)/($B$17-0)*$B$22,IF($B$22&lt;=$B$18,(J18-J17)/($B$18-$B$17)*($B$22-$B$17)+J17,IF($B$22&lt;=$B$21,(J21-J18)/($B$21-$B$18)*($B$22-$B$18)+J18)))</f>
        <v>0</v>
      </c>
      <c r="K22" s="32" t="b">
        <f>IF($B$22&lt;=$B$17,(K17-0)/($B$17-0)*$B$22,IF($B$22&lt;=$B$18,(K18-K17)/($B$18-$B$17)*($B$22-$B$17)+K17,IF($B$22&lt;=$B$21,(K21-K18)/($B$21-$B$18)*($B$22-$B$18)+K18)))</f>
        <v>0</v>
      </c>
      <c r="L22" s="31" t="b">
        <f>IF($B$22&lt;=$B$17,(L17-0)/($B$17-0)*$B$22,IF($B$22&lt;=$B$18,(L18-L17)/($B$18-$B$17)*($B$22-$B$17)+L17,IF($B$22&lt;=$B$21,(L21-L18)/($B$21-$B$18)*($B$22-$B$18)+L18)))</f>
        <v>0</v>
      </c>
      <c r="M22" s="32" t="b">
        <f>IF($B$22&lt;=$B$17,(M17-0)/($B$17-0)*$B$22,IF($B$22&lt;=$B$18,(M18-M17)/($B$18-$B$17)*($B$22-$B$17)+M17,IF($B$22&lt;=$B$21,(M21-M18)/($B$21-$B$18)*($B$22-$B$18)+M18)))</f>
        <v>0</v>
      </c>
      <c r="P22" s="64"/>
    </row>
    <row r="23" spans="1:16" ht="16.899999999999999" customHeight="1" x14ac:dyDescent="0.25">
      <c r="A23" s="164" t="s">
        <v>94</v>
      </c>
      <c r="B23" s="165"/>
      <c r="C23" s="164"/>
      <c r="D23" s="166"/>
      <c r="E23" s="165"/>
      <c r="F23" s="165"/>
      <c r="G23" s="165"/>
      <c r="H23" s="165"/>
      <c r="I23" s="165"/>
      <c r="J23" s="164"/>
      <c r="K23" s="165"/>
      <c r="L23" s="165"/>
      <c r="M23" s="166"/>
      <c r="P23" s="64" t="s">
        <v>23</v>
      </c>
    </row>
    <row r="24" spans="1:16" x14ac:dyDescent="0.25">
      <c r="A24" s="45"/>
      <c r="B24" s="4"/>
      <c r="C24" s="34"/>
      <c r="D24" s="5"/>
      <c r="E24" s="42"/>
      <c r="F24" s="5"/>
      <c r="G24" s="5"/>
      <c r="H24" s="5"/>
      <c r="I24" s="6"/>
      <c r="J24" s="34"/>
      <c r="K24" s="61"/>
      <c r="L24" s="66"/>
      <c r="M24" s="46"/>
      <c r="P24" s="64">
        <v>0.6</v>
      </c>
    </row>
    <row r="25" spans="1:16" x14ac:dyDescent="0.25">
      <c r="A25" s="45"/>
      <c r="B25" s="4"/>
      <c r="C25" s="34"/>
      <c r="D25" s="5"/>
      <c r="E25" s="42"/>
      <c r="F25" s="5"/>
      <c r="G25" s="5"/>
      <c r="H25" s="5"/>
      <c r="I25" s="6"/>
      <c r="J25" s="34"/>
      <c r="K25" s="61"/>
      <c r="L25" s="66"/>
      <c r="M25" s="46"/>
      <c r="P25" s="64">
        <v>0.68</v>
      </c>
    </row>
    <row r="26" spans="1:16" x14ac:dyDescent="0.25">
      <c r="A26" s="45"/>
      <c r="B26" s="4"/>
      <c r="C26" s="34"/>
      <c r="D26" s="5"/>
      <c r="E26" s="42"/>
      <c r="F26" s="5"/>
      <c r="G26" s="5"/>
      <c r="H26" s="5"/>
      <c r="I26" s="6"/>
      <c r="J26" s="34"/>
      <c r="K26" s="61"/>
      <c r="L26" s="66"/>
      <c r="M26" s="46"/>
      <c r="P26" s="64">
        <v>0.79</v>
      </c>
    </row>
    <row r="27" spans="1:16" x14ac:dyDescent="0.25">
      <c r="A27" s="45"/>
      <c r="B27" s="4"/>
      <c r="C27" s="34"/>
      <c r="D27" s="5"/>
      <c r="E27" s="42"/>
      <c r="F27" s="5"/>
      <c r="G27" s="5"/>
      <c r="H27" s="5"/>
      <c r="I27" s="6"/>
      <c r="J27" s="34"/>
      <c r="K27" s="61"/>
      <c r="L27" s="66"/>
      <c r="M27" s="46"/>
      <c r="P27" s="64">
        <v>0.87</v>
      </c>
    </row>
    <row r="28" spans="1:16" x14ac:dyDescent="0.25">
      <c r="A28" s="45"/>
      <c r="B28" s="4"/>
      <c r="C28" s="34"/>
      <c r="D28" s="5"/>
      <c r="E28" s="42"/>
      <c r="F28" s="5"/>
      <c r="G28" s="5"/>
      <c r="H28" s="5"/>
      <c r="I28" s="6"/>
      <c r="J28" s="34"/>
      <c r="K28" s="61"/>
      <c r="L28" s="66"/>
      <c r="M28" s="46"/>
      <c r="P28" s="64">
        <v>0.91</v>
      </c>
    </row>
    <row r="29" spans="1:16" hidden="1" x14ac:dyDescent="0.25">
      <c r="A29" s="28" t="s">
        <v>14</v>
      </c>
      <c r="B29" s="33">
        <f>B22</f>
        <v>10</v>
      </c>
      <c r="C29" s="35" t="b">
        <f>IF($B$22&lt;=$B$17,(C24-0)/($B$17-0)*$B$22,IF($B$22&lt;=$B$18,(C25-C24)/($B$18-$B$17)*($B$22-$B$17)+C24,IF($B$22&lt;=$B$21,(C28-C25)/($B$21-$B$18)*($B$22-$B$18)+C25)))</f>
        <v>0</v>
      </c>
      <c r="D29" s="29">
        <f>C29/(($D$8-$D$9)*1.163)</f>
        <v>0</v>
      </c>
      <c r="E29" s="41">
        <f>0.000115720760310885*D29^1.96267663452922</f>
        <v>0</v>
      </c>
      <c r="F29" s="29" t="b">
        <f>IF($B$22&lt;=$B$17,(F24-0)/($B$17-0)*$B$22,IF($B$22&lt;=$B$18,(F25-F24)/($B$18-$B$17)*($B$22-$B$17)+F24,IF($B$22&lt;=$B$21,(F28-F25)/($B$21-$B$18)*($B$22-$B$18)+F25)))</f>
        <v>0</v>
      </c>
      <c r="G29" s="29"/>
      <c r="H29" s="29">
        <f>F29/(($J$9-$J$8)*1.163)</f>
        <v>0</v>
      </c>
      <c r="I29" s="30">
        <f>0.000115720760310885*H29^1.96267663452922</f>
        <v>0</v>
      </c>
      <c r="J29" s="35" t="b">
        <f>IF($B$22&lt;=$B$17,(J24-0)/($B$17-0)*$B$22,IF($B$22&lt;=$B$18,(J25-J24)/($B$18-$B$17)*($B$22-$B$17)+J24,IF($B$22&lt;=$B$21,(J28-J25)/($B$21-$B$18)*($B$22-$B$18)+J25)))</f>
        <v>0</v>
      </c>
      <c r="K29" s="32" t="b">
        <f>IF($B$22&lt;=$B$17,(K24-0)/($B$17-0)*$B$22,IF($B$22&lt;=$B$18,(K25-K24)/($B$18-$B$17)*($B$22-$B$17)+K24,IF($B$22&lt;=$B$21,(K28-K25)/($B$21-$B$18)*($B$22-$B$18)+K25)))</f>
        <v>0</v>
      </c>
      <c r="L29" s="31" t="b">
        <f>IF($B$22&lt;=$B$17,(L24-0)/($B$17-0)*$B$22,IF($B$22&lt;=$B$18,(L25-L24)/($B$18-$B$17)*($B$22-$B$17)+L24,IF($B$22&lt;=$B$21,(L28-L25)/($B$21-$B$18)*($B$22-$B$18)+L25)))</f>
        <v>0</v>
      </c>
      <c r="M29" s="32" t="b">
        <f>IF($B$22&lt;=$B$17,(M24-0)/($B$17-0)*$B$22,IF($B$22&lt;=$B$18,(M25-M24)/($B$18-$B$17)*($B$22-$B$17)+M24,IF($B$22&lt;=$B$21,(M28-M25)/($B$21-$B$18)*($B$22-$B$18)+M25)))</f>
        <v>0</v>
      </c>
      <c r="P29" s="64"/>
    </row>
    <row r="30" spans="1:16" ht="18" customHeight="1" x14ac:dyDescent="0.25">
      <c r="A30" s="164" t="s">
        <v>95</v>
      </c>
      <c r="B30" s="165"/>
      <c r="C30" s="164"/>
      <c r="D30" s="166"/>
      <c r="E30" s="165"/>
      <c r="F30" s="165"/>
      <c r="G30" s="165"/>
      <c r="H30" s="165"/>
      <c r="I30" s="165"/>
      <c r="J30" s="164"/>
      <c r="K30" s="165"/>
      <c r="L30" s="165"/>
      <c r="M30" s="166"/>
      <c r="P30" s="64" t="s">
        <v>23</v>
      </c>
    </row>
    <row r="31" spans="1:16" x14ac:dyDescent="0.25">
      <c r="A31" s="45"/>
      <c r="B31" s="4"/>
      <c r="C31" s="34"/>
      <c r="D31" s="5"/>
      <c r="E31" s="42"/>
      <c r="F31" s="5"/>
      <c r="G31" s="5"/>
      <c r="H31" s="5"/>
      <c r="I31" s="6"/>
      <c r="J31" s="34"/>
      <c r="K31" s="61"/>
      <c r="L31" s="66"/>
      <c r="M31" s="46"/>
      <c r="P31" s="64">
        <v>0.6</v>
      </c>
    </row>
    <row r="32" spans="1:16" x14ac:dyDescent="0.25">
      <c r="A32" s="45"/>
      <c r="B32" s="4"/>
      <c r="C32" s="34"/>
      <c r="D32" s="5"/>
      <c r="E32" s="42"/>
      <c r="F32" s="5"/>
      <c r="G32" s="5"/>
      <c r="H32" s="5"/>
      <c r="I32" s="6"/>
      <c r="J32" s="34"/>
      <c r="K32" s="61"/>
      <c r="L32" s="66"/>
      <c r="M32" s="46"/>
      <c r="P32" s="64">
        <v>0.68</v>
      </c>
    </row>
    <row r="33" spans="1:16" x14ac:dyDescent="0.25">
      <c r="A33" s="45"/>
      <c r="B33" s="4"/>
      <c r="C33" s="34"/>
      <c r="D33" s="5"/>
      <c r="E33" s="42"/>
      <c r="F33" s="5"/>
      <c r="G33" s="5"/>
      <c r="H33" s="5"/>
      <c r="I33" s="6"/>
      <c r="J33" s="34"/>
      <c r="K33" s="61"/>
      <c r="L33" s="66"/>
      <c r="M33" s="46"/>
      <c r="P33" s="64">
        <v>0.79</v>
      </c>
    </row>
    <row r="34" spans="1:16" x14ac:dyDescent="0.25">
      <c r="A34" s="45"/>
      <c r="B34" s="4"/>
      <c r="C34" s="34"/>
      <c r="D34" s="5"/>
      <c r="E34" s="42"/>
      <c r="F34" s="5"/>
      <c r="G34" s="5"/>
      <c r="H34" s="5"/>
      <c r="I34" s="6"/>
      <c r="J34" s="34"/>
      <c r="K34" s="61"/>
      <c r="L34" s="66"/>
      <c r="M34" s="46"/>
      <c r="P34" s="64">
        <v>0.87</v>
      </c>
    </row>
    <row r="35" spans="1:16" x14ac:dyDescent="0.25">
      <c r="A35" s="45"/>
      <c r="B35" s="4"/>
      <c r="C35" s="34"/>
      <c r="D35" s="5"/>
      <c r="E35" s="42"/>
      <c r="F35" s="5"/>
      <c r="G35" s="5"/>
      <c r="H35" s="5"/>
      <c r="I35" s="6"/>
      <c r="J35" s="34"/>
      <c r="K35" s="61"/>
      <c r="L35" s="66"/>
      <c r="M35" s="46"/>
      <c r="P35" s="64">
        <v>0.91</v>
      </c>
    </row>
    <row r="36" spans="1:16" hidden="1" x14ac:dyDescent="0.25">
      <c r="A36" s="28" t="s">
        <v>14</v>
      </c>
      <c r="B36" s="33">
        <f>B22</f>
        <v>10</v>
      </c>
      <c r="C36" s="35" t="b">
        <f>IF($B$22&lt;=$B$17,(C31-0)/($B$17-0)*$B$22,IF($B$22&lt;=$B$18,(C34-C31)/($B$18-$B$17)*($B$22-$B$17)+C31,IF($B$22&lt;=$B$21,(C35-C34)/($B$21-$B$18)*($B$22-$B$18)+C34)))</f>
        <v>0</v>
      </c>
      <c r="D36" s="29">
        <f>C36/(($D$8-$D$9)*1.163)</f>
        <v>0</v>
      </c>
      <c r="E36" s="41">
        <f>0.000115720760310885*D36^1.96267663452922</f>
        <v>0</v>
      </c>
      <c r="F36" s="29" t="b">
        <f>IF($B$22&lt;=$B$17,(F31-0)/($B$17-0)*$B$22,IF($B$22&lt;=$B$18,(F34-F31)/($B$18-$B$17)*($B$22-$B$17)+F31,IF($B$22&lt;=$B$21,(F35-F34)/($B$21-$B$18)*($B$22-$B$18)+F34)))</f>
        <v>0</v>
      </c>
      <c r="G36" s="29"/>
      <c r="H36" s="29">
        <f>F36/(($J$9-$J$8)*1.163)</f>
        <v>0</v>
      </c>
      <c r="I36" s="30">
        <f>0.000115720760310885*H36^1.96267663452922</f>
        <v>0</v>
      </c>
      <c r="J36" s="35" t="b">
        <f>IF($B$22&lt;=$B$17,(J31-0)/($B$17-0)*$B$22,IF($B$22&lt;=$B$18,(J34-J31)/($B$18-$B$17)*($B$22-$B$17)+J31,IF($B$22&lt;=$B$21,(J35-J34)/($B$21-$B$18)*($B$22-$B$18)+J34)))</f>
        <v>0</v>
      </c>
      <c r="K36" s="32" t="b">
        <f>IF($B$22&lt;=$B$17,(K31-0)/($B$17-0)*$B$22,IF($B$22&lt;=$B$18,(K34-K31)/($B$18-$B$17)*($B$22-$B$17)+K31,IF($B$22&lt;=$B$21,(K35-K34)/($B$21-$B$18)*($B$22-$B$18)+K34)))</f>
        <v>0</v>
      </c>
      <c r="L36" s="31" t="b">
        <f>IF($B$22&lt;=$B$17,(L31-0)/($B$17-0)*$B$22,IF($B$22&lt;=$B$18,(L34-L31)/($B$18-$B$17)*($B$22-$B$17)+L31,IF($B$22&lt;=$B$21,(L35-L34)/($B$21-$B$18)*($B$22-$B$18)+L34)))</f>
        <v>0</v>
      </c>
      <c r="M36" s="32" t="b">
        <f>IF($B$22&lt;=$B$17,(M31-0)/($B$17-0)*$B$22,IF($B$22&lt;=$B$18,(M34-M31)/($B$18-$B$17)*($B$22-$B$17)+M31,IF($B$22&lt;=$B$21,(M35-M34)/($B$21-$B$18)*($B$22-$B$18)+M34)))</f>
        <v>0</v>
      </c>
      <c r="P36" s="64"/>
    </row>
    <row r="37" spans="1:16" ht="16.899999999999999" customHeight="1" x14ac:dyDescent="0.25">
      <c r="A37" s="164" t="s">
        <v>96</v>
      </c>
      <c r="B37" s="165"/>
      <c r="C37" s="164"/>
      <c r="D37" s="166"/>
      <c r="E37" s="165"/>
      <c r="F37" s="165"/>
      <c r="G37" s="165"/>
      <c r="H37" s="165"/>
      <c r="I37" s="165"/>
      <c r="J37" s="164"/>
      <c r="K37" s="165"/>
      <c r="L37" s="165"/>
      <c r="M37" s="166"/>
      <c r="P37" s="64" t="s">
        <v>23</v>
      </c>
    </row>
    <row r="38" spans="1:16" x14ac:dyDescent="0.25">
      <c r="A38" s="45"/>
      <c r="B38" s="4"/>
      <c r="C38" s="34"/>
      <c r="D38" s="5"/>
      <c r="E38" s="42"/>
      <c r="F38" s="5"/>
      <c r="G38" s="5"/>
      <c r="H38" s="5"/>
      <c r="I38" s="6"/>
      <c r="J38" s="34"/>
      <c r="K38" s="61"/>
      <c r="L38" s="66"/>
      <c r="M38" s="46"/>
      <c r="P38" s="64">
        <v>0.6</v>
      </c>
    </row>
    <row r="39" spans="1:16" x14ac:dyDescent="0.25">
      <c r="A39" s="45"/>
      <c r="B39" s="4"/>
      <c r="C39" s="34"/>
      <c r="D39" s="5"/>
      <c r="E39" s="42"/>
      <c r="F39" s="5"/>
      <c r="G39" s="5"/>
      <c r="H39" s="5"/>
      <c r="I39" s="6"/>
      <c r="J39" s="34"/>
      <c r="K39" s="61"/>
      <c r="L39" s="66"/>
      <c r="M39" s="46"/>
      <c r="P39" s="64">
        <v>0.68</v>
      </c>
    </row>
    <row r="40" spans="1:16" x14ac:dyDescent="0.25">
      <c r="A40" s="45"/>
      <c r="B40" s="4"/>
      <c r="C40" s="34"/>
      <c r="D40" s="5"/>
      <c r="E40" s="42"/>
      <c r="F40" s="5"/>
      <c r="G40" s="5"/>
      <c r="H40" s="5"/>
      <c r="I40" s="6"/>
      <c r="J40" s="34"/>
      <c r="K40" s="61"/>
      <c r="L40" s="66"/>
      <c r="M40" s="46"/>
      <c r="P40" s="64">
        <v>0.79</v>
      </c>
    </row>
    <row r="41" spans="1:16" x14ac:dyDescent="0.25">
      <c r="A41" s="45"/>
      <c r="B41" s="4"/>
      <c r="C41" s="34"/>
      <c r="D41" s="5"/>
      <c r="E41" s="42"/>
      <c r="F41" s="5"/>
      <c r="G41" s="5"/>
      <c r="H41" s="5"/>
      <c r="I41" s="6"/>
      <c r="J41" s="34"/>
      <c r="K41" s="61"/>
      <c r="L41" s="66"/>
      <c r="M41" s="46"/>
      <c r="P41" s="64">
        <v>0.87</v>
      </c>
    </row>
    <row r="42" spans="1:16" x14ac:dyDescent="0.25">
      <c r="A42" s="54"/>
      <c r="B42" s="55"/>
      <c r="C42" s="56"/>
      <c r="D42" s="57"/>
      <c r="E42" s="58"/>
      <c r="F42" s="57"/>
      <c r="G42" s="57"/>
      <c r="H42" s="57"/>
      <c r="I42" s="59"/>
      <c r="J42" s="56"/>
      <c r="K42" s="62"/>
      <c r="L42" s="66"/>
      <c r="M42" s="60"/>
      <c r="P42" s="64">
        <v>0.91</v>
      </c>
    </row>
    <row r="43" spans="1:16" hidden="1" x14ac:dyDescent="0.25">
      <c r="A43" s="47" t="s">
        <v>14</v>
      </c>
      <c r="B43" s="48">
        <f>B22</f>
        <v>10</v>
      </c>
      <c r="C43" s="49" t="b">
        <f>IF($B$22&lt;=$B$17,(C38-0)/($B$17-0)*$B$22,IF($B$22&lt;=$B$18,(C41-C38)/($B$18-$B$17)*($B$22-$B$17)+C38,IF($B$22&lt;=$B$21,(C42-C41)/($B$21-$B$18)*($B$22-$B$18)+C41)))</f>
        <v>0</v>
      </c>
      <c r="D43" s="50">
        <f>C43/(($D$8-$D$9)*1.163)</f>
        <v>0</v>
      </c>
      <c r="E43" s="51">
        <f>0.000115720760310885*D43^1.96267663452922</f>
        <v>0</v>
      </c>
      <c r="F43" s="50" t="b">
        <f>IF($B$22&lt;=$B$17,(F38-0)/($B$17-0)*$B$22,IF($B$22&lt;=$B$18,(F41-F38)/($B$18-$B$17)*($B$22-$B$17)+F38,IF($B$22&lt;=$B$21,(F42-F41)/($B$21-$B$18)*($B$22-$B$18)+F41)))</f>
        <v>0</v>
      </c>
      <c r="G43" s="50"/>
      <c r="H43" s="50">
        <f>F43/(($J$9-$J$8)*1.163)</f>
        <v>0</v>
      </c>
      <c r="I43" s="52">
        <f>0.000115720760310885*H43^1.96267663452922</f>
        <v>0</v>
      </c>
      <c r="J43" s="49" t="b">
        <f>IF($B$22&lt;=$B$17,(J38-0)/($B$17-0)*$B$22,IF($B$22&lt;=$B$18,(J41-J38)/($B$18-$B$17)*($B$22-$B$17)+J38,IF($B$22&lt;=$B$21,(J42-J41)/($B$21-$B$18)*($B$22-$B$18)+J41)))</f>
        <v>0</v>
      </c>
      <c r="K43" s="53" t="b">
        <f>IF($B$22&lt;=$B$17,(K38-0)/($B$17-0)*$B$22,IF($B$22&lt;=$B$18,(K41-K38)/($B$18-$B$17)*($B$22-$B$17)+K38,IF($B$22&lt;=$B$21,(K42-K41)/($B$21-$B$18)*($B$22-$B$18)+K41)))</f>
        <v>0</v>
      </c>
      <c r="L43" s="67" t="b">
        <f>IF($B$22&lt;=$B$17,(L38-0)/($B$17-0)*$B$22,IF($B$22&lt;=$B$18,(L41-L38)/($B$18-$B$17)*($B$22-$B$17)+L38,IF($B$22&lt;=$B$21,(L42-L41)/($B$21-$B$18)*($B$22-$B$18)+L41)))</f>
        <v>0</v>
      </c>
      <c r="M43" s="53" t="b">
        <f>IF($B$22&lt;=$B$17,(M38-0)/($B$17-0)*$B$22,IF($B$22&lt;=$B$18,(M41-M38)/($B$18-$B$17)*($B$22-$B$17)+M38,IF($B$22&lt;=$B$21,(M42-M41)/($B$21-$B$18)*($B$22-$B$18)+M41)))</f>
        <v>0</v>
      </c>
    </row>
    <row r="44" spans="1:16" ht="9.4" customHeight="1" x14ac:dyDescent="0.25">
      <c r="A44" s="7" t="s">
        <v>86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68"/>
      <c r="M44" s="65" t="str">
        <f>'Quatro Canal'!M44</f>
        <v>v11-10-2017</v>
      </c>
    </row>
    <row r="45" spans="1:16" ht="9.4" customHeight="1" x14ac:dyDescent="0.25">
      <c r="A45" s="7" t="s">
        <v>38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6" ht="9.4" customHeight="1" x14ac:dyDescent="0.25">
      <c r="A46" s="7" t="s">
        <v>39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6" s="3" customFormat="1" ht="16.149999999999999" hidden="1" customHeight="1" x14ac:dyDescent="0.25"/>
    <row r="48" spans="1:16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</sheetData>
  <sheetProtection algorithmName="SHA-512" hashValue="Myi7K0Tbq42mrJex+y2IXQkc5ONXCZPsSHZHbkH1w4z+qMZI1Qw8+IWVoycC/guoBbjdYbk7c7nv6PQxklB49A==" saltValue="7w96QTBMkKlRvgNDGq0KOg==" spinCount="100000" sheet="1" selectLockedCells="1"/>
  <mergeCells count="11">
    <mergeCell ref="A12:D12"/>
    <mergeCell ref="A16:M16"/>
    <mergeCell ref="A23:M23"/>
    <mergeCell ref="A30:M30"/>
    <mergeCell ref="A37:M37"/>
    <mergeCell ref="A8:C8"/>
    <mergeCell ref="F8:I8"/>
    <mergeCell ref="A9:C9"/>
    <mergeCell ref="F9:I9"/>
    <mergeCell ref="A10:C10"/>
    <mergeCell ref="F10:I10"/>
  </mergeCells>
  <dataValidations count="8">
    <dataValidation type="decimal" errorStyle="information" allowBlank="1" showErrorMessage="1" error="Eingabe außerhalb des gültigen Bereichs." prompt="20°C bis 35°C" sqref="J11" xr:uid="{00000000-0002-0000-0100-000000000000}">
      <formula1>0.01</formula1>
      <formula2>1</formula2>
    </dataValidation>
    <dataValidation type="whole" errorStyle="information" allowBlank="1" showErrorMessage="1" error="Eingabe außerhalb des gültigen Bereichs." prompt="Eingabe zwischen 5°C bis 20°C" sqref="J8" xr:uid="{00000000-0002-0000-0100-000001000000}">
      <formula1>5</formula1>
      <formula2>20</formula2>
    </dataValidation>
    <dataValidation type="whole" errorStyle="information" allowBlank="1" showErrorMessage="1" error="Eingabe außerhalb des gültigen Bereichs." prompt="Eingabe zwischen Vorlauftemp. und Raumtemp." sqref="J9" xr:uid="{00000000-0002-0000-0100-000002000000}">
      <formula1>J8</formula1>
      <formula2>J10</formula2>
    </dataValidation>
    <dataValidation type="whole" errorStyle="information" allowBlank="1" showErrorMessage="1" error="Temperatur außerhalb des gütligen Bereichs." prompt="Eingabe zwischen 30°C bis 95°C" sqref="D8" xr:uid="{00000000-0002-0000-01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D9" xr:uid="{00000000-0002-0000-0100-000004000000}">
      <formula1>D10</formula1>
      <formula2>D8</formula2>
    </dataValidation>
    <dataValidation type="whole" errorStyle="information" allowBlank="1" showErrorMessage="1" error="Eingabe außerhalb des gültigen Bereichs." prompt="Eingabe zwischen 16°C bis 30°C" sqref="D10" xr:uid="{00000000-0002-0000-0100-000005000000}">
      <formula1>16</formula1>
      <formula2>30</formula2>
    </dataValidation>
    <dataValidation type="whole" errorStyle="information" allowBlank="1" showErrorMessage="1" error="Eingabe außerhalb des gültigen Bereichs." prompt="20°C bis 35°C" sqref="J10" xr:uid="{00000000-0002-0000-0100-000006000000}">
      <formula1>20</formula1>
      <formula2>35</formula2>
    </dataValidation>
    <dataValidation type="whole" errorStyle="information" allowBlank="1" showErrorMessage="1" error="Eingabe außerhalb des gültigen Bereichs." prompt="Eingabe zwischen 0% und 100%" sqref="E12" xr:uid="{00000000-0002-0000-0100-000007000000}">
      <formula1>0</formula1>
      <formula2>100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4"/>
  <sheetViews>
    <sheetView topLeftCell="A16" workbookViewId="0">
      <selection activeCell="M45" sqref="M45"/>
    </sheetView>
  </sheetViews>
  <sheetFormatPr defaultColWidth="0" defaultRowHeight="15" zeroHeight="1" x14ac:dyDescent="0.25"/>
  <cols>
    <col min="1" max="1" width="7" style="1" customWidth="1"/>
    <col min="2" max="2" width="6.140625" style="1" customWidth="1"/>
    <col min="3" max="3" width="7" style="1" customWidth="1"/>
    <col min="4" max="4" width="6.7109375" style="1" customWidth="1"/>
    <col min="5" max="5" width="7" style="1" customWidth="1"/>
    <col min="6" max="6" width="7.7109375" style="1" customWidth="1"/>
    <col min="7" max="13" width="7" style="1" customWidth="1"/>
    <col min="14" max="14" width="2.140625" style="1" customWidth="1"/>
    <col min="15" max="16384" width="11.42578125" style="1" hidden="1"/>
  </cols>
  <sheetData>
    <row r="1" spans="1:16" s="3" customFormat="1" x14ac:dyDescent="0.25">
      <c r="A1" s="22"/>
    </row>
    <row r="2" spans="1:16" s="3" customFormat="1" x14ac:dyDescent="0.25">
      <c r="A2" s="24" t="s">
        <v>68</v>
      </c>
      <c r="B2" s="23"/>
    </row>
    <row r="3" spans="1:16" s="3" customFormat="1" x14ac:dyDescent="0.25">
      <c r="A3" s="22"/>
    </row>
    <row r="4" spans="1:16" s="3" customFormat="1" x14ac:dyDescent="0.25">
      <c r="A4" s="36" t="s">
        <v>57</v>
      </c>
    </row>
    <row r="5" spans="1:16" s="3" customFormat="1" ht="6" customHeight="1" x14ac:dyDescent="0.2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</row>
    <row r="6" spans="1:16" x14ac:dyDescent="0.25">
      <c r="A6" s="13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14"/>
    </row>
    <row r="7" spans="1:16" x14ac:dyDescent="0.25">
      <c r="A7" s="13" t="s">
        <v>41</v>
      </c>
      <c r="B7" s="8"/>
      <c r="C7" s="8"/>
      <c r="D7" s="8"/>
      <c r="E7" s="8"/>
      <c r="F7" s="9" t="s">
        <v>42</v>
      </c>
      <c r="G7" s="9"/>
      <c r="H7" s="9"/>
      <c r="I7" s="8"/>
      <c r="J7" s="8"/>
      <c r="K7" s="8"/>
      <c r="L7" s="37"/>
      <c r="M7" s="14"/>
    </row>
    <row r="8" spans="1:16" x14ac:dyDescent="0.25">
      <c r="A8" s="160" t="s">
        <v>43</v>
      </c>
      <c r="B8" s="161"/>
      <c r="C8" s="161"/>
      <c r="D8" s="86">
        <f>'Quatro Canal'!D8</f>
        <v>60</v>
      </c>
      <c r="E8" s="69"/>
      <c r="F8" s="161" t="s">
        <v>43</v>
      </c>
      <c r="G8" s="161"/>
      <c r="H8" s="161"/>
      <c r="I8" s="161"/>
      <c r="J8" s="86">
        <f>'Quatro Canal'!J8</f>
        <v>8</v>
      </c>
      <c r="K8" s="8"/>
      <c r="L8" s="8"/>
      <c r="M8" s="14"/>
    </row>
    <row r="9" spans="1:16" x14ac:dyDescent="0.25">
      <c r="A9" s="160" t="s">
        <v>44</v>
      </c>
      <c r="B9" s="161"/>
      <c r="C9" s="161"/>
      <c r="D9" s="86">
        <f>'Quatro Canal'!D9</f>
        <v>45</v>
      </c>
      <c r="E9" s="69"/>
      <c r="F9" s="161" t="s">
        <v>44</v>
      </c>
      <c r="G9" s="161"/>
      <c r="H9" s="161"/>
      <c r="I9" s="161"/>
      <c r="J9" s="86">
        <f>'Quatro Canal'!J9</f>
        <v>14</v>
      </c>
      <c r="K9" s="8"/>
      <c r="L9" s="8"/>
      <c r="M9" s="14"/>
    </row>
    <row r="10" spans="1:16" x14ac:dyDescent="0.25">
      <c r="A10" s="160" t="s">
        <v>1</v>
      </c>
      <c r="B10" s="161"/>
      <c r="C10" s="161"/>
      <c r="D10" s="86">
        <f>'Quatro Canal'!D10</f>
        <v>20</v>
      </c>
      <c r="E10" s="69"/>
      <c r="F10" s="161" t="s">
        <v>45</v>
      </c>
      <c r="G10" s="161"/>
      <c r="H10" s="161"/>
      <c r="I10" s="161"/>
      <c r="J10" s="86">
        <f>'Quatro Canal'!J10</f>
        <v>26</v>
      </c>
      <c r="K10" s="8"/>
      <c r="L10" s="8"/>
      <c r="M10" s="14"/>
    </row>
    <row r="11" spans="1:16" x14ac:dyDescent="0.25">
      <c r="A11" s="15"/>
      <c r="B11" s="8"/>
      <c r="C11" s="8"/>
      <c r="D11" s="8"/>
      <c r="E11" s="8"/>
      <c r="F11" s="8" t="s">
        <v>61</v>
      </c>
      <c r="G11" s="8"/>
      <c r="H11" s="8"/>
      <c r="I11" s="8"/>
      <c r="J11" s="89">
        <f>'Quatro Canal'!J11</f>
        <v>0.5</v>
      </c>
      <c r="K11" s="8"/>
      <c r="L11" s="8"/>
      <c r="M11" s="14"/>
    </row>
    <row r="12" spans="1:16" ht="13.9" hidden="1" customHeight="1" x14ac:dyDescent="0.25">
      <c r="A12" s="162" t="s">
        <v>12</v>
      </c>
      <c r="B12" s="163"/>
      <c r="C12" s="163"/>
      <c r="D12" s="163"/>
      <c r="E12" s="39">
        <v>100</v>
      </c>
      <c r="F12" s="8" t="s">
        <v>13</v>
      </c>
      <c r="G12" s="8"/>
      <c r="H12" s="8"/>
      <c r="I12" s="8" t="s">
        <v>18</v>
      </c>
      <c r="J12" s="8" t="s">
        <v>17</v>
      </c>
      <c r="K12" s="8"/>
      <c r="L12" s="8"/>
      <c r="M12" s="14"/>
    </row>
    <row r="13" spans="1:16" ht="6" customHeight="1" x14ac:dyDescent="0.25">
      <c r="A13" s="16"/>
      <c r="B13" s="17"/>
      <c r="C13" s="17"/>
      <c r="D13" s="17"/>
      <c r="E13" s="18"/>
      <c r="F13" s="18"/>
      <c r="G13" s="18"/>
      <c r="H13" s="18"/>
      <c r="I13" s="18"/>
      <c r="J13" s="18"/>
      <c r="K13" s="18"/>
      <c r="L13" s="18"/>
      <c r="M13" s="19"/>
    </row>
    <row r="14" spans="1:16" x14ac:dyDescent="0.2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</row>
    <row r="15" spans="1:16" s="2" customFormat="1" ht="95.45" customHeight="1" x14ac:dyDescent="0.25">
      <c r="A15" s="27" t="s">
        <v>46</v>
      </c>
      <c r="B15" s="20" t="s">
        <v>47</v>
      </c>
      <c r="C15" s="27" t="str">
        <f>CONCATENATE("Heat output * ",D8,"/",D9,"/",D10," [W]")</f>
        <v>Heat output * 60/45/20 [W]</v>
      </c>
      <c r="D15" s="40" t="s">
        <v>48</v>
      </c>
      <c r="E15" s="44" t="s">
        <v>55</v>
      </c>
      <c r="F15" s="20" t="str">
        <f>CONCATENATE("Sens. cooling capacity * ",J8,"/",J9,"/",J10," [W]")</f>
        <v>Sens. cooling capacity * 8/14/26 [W]</v>
      </c>
      <c r="G15" s="20" t="str">
        <f>CONCATENATE("Tot. cooling capacity ",J8,"/",J9,"/",J10," [W]")</f>
        <v>Tot. cooling capacity 8/14/26 [W]</v>
      </c>
      <c r="H15" s="20" t="s">
        <v>49</v>
      </c>
      <c r="I15" s="21" t="s">
        <v>55</v>
      </c>
      <c r="J15" s="27" t="s">
        <v>50</v>
      </c>
      <c r="K15" s="43" t="s">
        <v>81</v>
      </c>
      <c r="L15" s="20" t="s">
        <v>51</v>
      </c>
      <c r="M15" s="26" t="s">
        <v>52</v>
      </c>
    </row>
    <row r="16" spans="1:16" ht="18" customHeight="1" x14ac:dyDescent="0.25">
      <c r="A16" s="164" t="s">
        <v>97</v>
      </c>
      <c r="B16" s="165"/>
      <c r="C16" s="164"/>
      <c r="D16" s="166"/>
      <c r="E16" s="165"/>
      <c r="F16" s="165"/>
      <c r="G16" s="165"/>
      <c r="H16" s="165"/>
      <c r="I16" s="165"/>
      <c r="J16" s="164"/>
      <c r="K16" s="165"/>
      <c r="L16" s="165"/>
      <c r="M16" s="166"/>
      <c r="P16" s="64" t="s">
        <v>23</v>
      </c>
    </row>
    <row r="17" spans="1:16" x14ac:dyDescent="0.25">
      <c r="A17" s="45"/>
      <c r="B17" s="4"/>
      <c r="C17" s="34"/>
      <c r="D17" s="5"/>
      <c r="E17" s="42"/>
      <c r="F17" s="5"/>
      <c r="G17" s="5"/>
      <c r="H17" s="5"/>
      <c r="I17" s="6"/>
      <c r="J17" s="34"/>
      <c r="K17" s="61"/>
      <c r="L17" s="66"/>
      <c r="M17" s="46"/>
      <c r="P17" s="64">
        <v>0.6</v>
      </c>
    </row>
    <row r="18" spans="1:16" x14ac:dyDescent="0.25">
      <c r="A18" s="45"/>
      <c r="B18" s="4"/>
      <c r="C18" s="34"/>
      <c r="D18" s="5"/>
      <c r="E18" s="42"/>
      <c r="F18" s="5"/>
      <c r="G18" s="5"/>
      <c r="H18" s="5"/>
      <c r="I18" s="6"/>
      <c r="J18" s="34"/>
      <c r="K18" s="61"/>
      <c r="L18" s="66"/>
      <c r="M18" s="46"/>
      <c r="P18" s="64">
        <v>0.68</v>
      </c>
    </row>
    <row r="19" spans="1:16" x14ac:dyDescent="0.25">
      <c r="A19" s="45"/>
      <c r="B19" s="4"/>
      <c r="C19" s="34"/>
      <c r="D19" s="5"/>
      <c r="E19" s="42"/>
      <c r="F19" s="5"/>
      <c r="G19" s="5"/>
      <c r="H19" s="5"/>
      <c r="I19" s="6"/>
      <c r="J19" s="34"/>
      <c r="K19" s="61"/>
      <c r="L19" s="66"/>
      <c r="M19" s="46"/>
      <c r="P19" s="64">
        <v>0.79</v>
      </c>
    </row>
    <row r="20" spans="1:16" x14ac:dyDescent="0.25">
      <c r="A20" s="45"/>
      <c r="B20" s="4"/>
      <c r="C20" s="34"/>
      <c r="D20" s="5"/>
      <c r="E20" s="42"/>
      <c r="F20" s="5"/>
      <c r="G20" s="5"/>
      <c r="H20" s="5"/>
      <c r="I20" s="6"/>
      <c r="J20" s="34"/>
      <c r="K20" s="61"/>
      <c r="L20" s="66"/>
      <c r="M20" s="46"/>
      <c r="P20" s="64">
        <v>0.87</v>
      </c>
    </row>
    <row r="21" spans="1:16" x14ac:dyDescent="0.25">
      <c r="A21" s="45"/>
      <c r="B21" s="4"/>
      <c r="C21" s="34"/>
      <c r="D21" s="5"/>
      <c r="E21" s="42"/>
      <c r="F21" s="5"/>
      <c r="G21" s="5"/>
      <c r="H21" s="5"/>
      <c r="I21" s="6"/>
      <c r="J21" s="34"/>
      <c r="K21" s="61"/>
      <c r="L21" s="66"/>
      <c r="M21" s="46"/>
      <c r="P21" s="64">
        <v>0.91</v>
      </c>
    </row>
    <row r="22" spans="1:16" hidden="1" x14ac:dyDescent="0.25">
      <c r="A22" s="28" t="s">
        <v>14</v>
      </c>
      <c r="B22" s="33">
        <f>E12/10</f>
        <v>10</v>
      </c>
      <c r="C22" s="35" t="b">
        <f>IF($B$22&lt;=$B$17,(C17-0)/($B$17-0)*$B$22,IF($B$22&lt;=$B$18,(C18-C17)/($B$18-$B$17)*($B$22-$B$17)+C17,IF($B$22&lt;=$B$21,(C21-C18)/($B$21-$B$18)*($B$22-$B$18)+C18)))</f>
        <v>0</v>
      </c>
      <c r="D22" s="29">
        <f>C22/(($D$8-$D$9)*1.163)</f>
        <v>0</v>
      </c>
      <c r="E22" s="41">
        <f>0.000115720760310885*D22^1.96267663452922</f>
        <v>0</v>
      </c>
      <c r="F22" s="29" t="b">
        <f>IF($B$22&lt;=$B$17,(F17-0)/($B$17-0)*$B$22,IF($B$22&lt;=$B$18,(F18-F17)/($B$18-$B$17)*($B$22-$B$17)+F17,IF($B$22&lt;=$B$21,(F21-F18)/($B$21-$B$18)*($B$22-$B$18)+F18)))</f>
        <v>0</v>
      </c>
      <c r="G22" s="5">
        <f t="shared" ref="G22" si="0">$F22/(IF((237.3*LN(($J$11*EXP(17.27*($J$10/($J$10+237.3))))))/(17.27-LN(($J$11*EXP(17.27*($J$10/($J$10+237.3))))))&lt;($J$8+$J$9)/2,1,1/(1+((2258*((0.622/((101325/(1*611*EXP(17.27*(($J$8+$J$9)/2/(($J$8+$J$9)/2+237.3))))))-1)*1000-(0.622/((101325/($J$11*611*EXP(17.27*($J$10/($J$10+237.3))))))-1)*1000))/(1005*(($J$8+$J$9)/2-$J$10))))-((-0.000625*$B22+0.00625)*($J$10-($J$8+$J$9)/2)-(-0.000625*$B22+0.00625)*10)))</f>
        <v>0</v>
      </c>
      <c r="H22" s="29">
        <f>F22/(($J$9-$J$8)*1.163)</f>
        <v>0</v>
      </c>
      <c r="I22" s="30">
        <f>0.000115720760310885*H22^1.96267663452922</f>
        <v>0</v>
      </c>
      <c r="J22" s="35" t="b">
        <f>IF($B$22&lt;=$B$17,(J17-0)/($B$17-0)*$B$22,IF($B$22&lt;=$B$18,(J18-J17)/($B$18-$B$17)*($B$22-$B$17)+J17,IF($B$22&lt;=$B$21,(J21-J18)/($B$21-$B$18)*($B$22-$B$18)+J18)))</f>
        <v>0</v>
      </c>
      <c r="K22" s="32" t="b">
        <f>IF($B$22&lt;=$B$17,(K17-0)/($B$17-0)*$B$22,IF($B$22&lt;=$B$18,(K18-K17)/($B$18-$B$17)*($B$22-$B$17)+K17,IF($B$22&lt;=$B$21,(K21-K18)/($B$21-$B$18)*($B$22-$B$18)+K18)))</f>
        <v>0</v>
      </c>
      <c r="L22" s="31" t="b">
        <f>IF($B$22&lt;=$B$17,(L17-0)/($B$17-0)*$B$22,IF($B$22&lt;=$B$18,(L18-L17)/($B$18-$B$17)*($B$22-$B$17)+L17,IF($B$22&lt;=$B$21,(L21-L18)/($B$21-$B$18)*($B$22-$B$18)+L18)))</f>
        <v>0</v>
      </c>
      <c r="M22" s="32" t="b">
        <f>IF($B$22&lt;=$B$17,(M17-0)/($B$17-0)*$B$22,IF($B$22&lt;=$B$18,(M18-M17)/($B$18-$B$17)*($B$22-$B$17)+M17,IF($B$22&lt;=$B$21,(M21-M18)/($B$21-$B$18)*($B$22-$B$18)+M18)))</f>
        <v>0</v>
      </c>
      <c r="P22" s="64"/>
    </row>
    <row r="23" spans="1:16" ht="16.899999999999999" customHeight="1" x14ac:dyDescent="0.25">
      <c r="A23" s="164" t="s">
        <v>102</v>
      </c>
      <c r="B23" s="165"/>
      <c r="C23" s="164"/>
      <c r="D23" s="166"/>
      <c r="E23" s="165"/>
      <c r="F23" s="165"/>
      <c r="G23" s="165"/>
      <c r="H23" s="165"/>
      <c r="I23" s="165"/>
      <c r="J23" s="164"/>
      <c r="K23" s="165"/>
      <c r="L23" s="165"/>
      <c r="M23" s="166"/>
      <c r="P23" s="64" t="s">
        <v>23</v>
      </c>
    </row>
    <row r="24" spans="1:16" x14ac:dyDescent="0.25">
      <c r="A24" s="45"/>
      <c r="B24" s="4"/>
      <c r="C24" s="34"/>
      <c r="D24" s="5"/>
      <c r="E24" s="42"/>
      <c r="F24" s="5"/>
      <c r="G24" s="5"/>
      <c r="H24" s="5"/>
      <c r="I24" s="6"/>
      <c r="J24" s="34"/>
      <c r="K24" s="61"/>
      <c r="L24" s="66"/>
      <c r="M24" s="46"/>
      <c r="P24" s="64">
        <v>0.6</v>
      </c>
    </row>
    <row r="25" spans="1:16" x14ac:dyDescent="0.25">
      <c r="A25" s="45"/>
      <c r="B25" s="4"/>
      <c r="C25" s="34"/>
      <c r="D25" s="5"/>
      <c r="E25" s="42"/>
      <c r="F25" s="5"/>
      <c r="G25" s="5"/>
      <c r="H25" s="5"/>
      <c r="I25" s="6"/>
      <c r="J25" s="34"/>
      <c r="K25" s="61"/>
      <c r="L25" s="66"/>
      <c r="M25" s="46"/>
      <c r="P25" s="64">
        <v>0.68</v>
      </c>
    </row>
    <row r="26" spans="1:16" x14ac:dyDescent="0.25">
      <c r="A26" s="45"/>
      <c r="B26" s="4"/>
      <c r="C26" s="34"/>
      <c r="D26" s="5"/>
      <c r="E26" s="42"/>
      <c r="F26" s="5"/>
      <c r="G26" s="5"/>
      <c r="H26" s="5"/>
      <c r="I26" s="6"/>
      <c r="J26" s="34"/>
      <c r="K26" s="61"/>
      <c r="L26" s="66"/>
      <c r="M26" s="46"/>
      <c r="P26" s="64">
        <v>0.79</v>
      </c>
    </row>
    <row r="27" spans="1:16" x14ac:dyDescent="0.25">
      <c r="A27" s="45"/>
      <c r="B27" s="4"/>
      <c r="C27" s="34"/>
      <c r="D27" s="5"/>
      <c r="E27" s="42"/>
      <c r="F27" s="5"/>
      <c r="G27" s="5"/>
      <c r="H27" s="5"/>
      <c r="I27" s="6"/>
      <c r="J27" s="34"/>
      <c r="K27" s="61"/>
      <c r="L27" s="66"/>
      <c r="M27" s="46"/>
      <c r="P27" s="64">
        <v>0.87</v>
      </c>
    </row>
    <row r="28" spans="1:16" x14ac:dyDescent="0.25">
      <c r="A28" s="45"/>
      <c r="B28" s="4"/>
      <c r="C28" s="34"/>
      <c r="D28" s="5"/>
      <c r="E28" s="42"/>
      <c r="F28" s="5"/>
      <c r="G28" s="5"/>
      <c r="H28" s="5"/>
      <c r="I28" s="6"/>
      <c r="J28" s="34"/>
      <c r="K28" s="61"/>
      <c r="L28" s="66"/>
      <c r="M28" s="46"/>
      <c r="P28" s="64">
        <v>0.91</v>
      </c>
    </row>
    <row r="29" spans="1:16" hidden="1" x14ac:dyDescent="0.25">
      <c r="A29" s="28" t="s">
        <v>14</v>
      </c>
      <c r="B29" s="33">
        <f>B22</f>
        <v>10</v>
      </c>
      <c r="C29" s="35" t="b">
        <f>IF($B$22&lt;=$B$17,(C24-0)/($B$17-0)*$B$22,IF($B$22&lt;=$B$18,(C25-C24)/($B$18-$B$17)*($B$22-$B$17)+C24,IF($B$22&lt;=$B$21,(C28-C25)/($B$21-$B$18)*($B$22-$B$18)+C25)))</f>
        <v>0</v>
      </c>
      <c r="D29" s="29">
        <f>C29/(($D$8-$D$9)*1.163)</f>
        <v>0</v>
      </c>
      <c r="E29" s="41">
        <f>0.000115720760310885*D29^1.96267663452922</f>
        <v>0</v>
      </c>
      <c r="F29" s="29" t="b">
        <f>IF($B$22&lt;=$B$17,(F24-0)/($B$17-0)*$B$22,IF($B$22&lt;=$B$18,(F25-F24)/($B$18-$B$17)*($B$22-$B$17)+F24,IF($B$22&lt;=$B$21,(F28-F25)/($B$21-$B$18)*($B$22-$B$18)+F25)))</f>
        <v>0</v>
      </c>
      <c r="G29" s="29"/>
      <c r="H29" s="29">
        <f>F29/(($J$9-$J$8)*1.163)</f>
        <v>0</v>
      </c>
      <c r="I29" s="30">
        <f>0.000115720760310885*H29^1.96267663452922</f>
        <v>0</v>
      </c>
      <c r="J29" s="35" t="b">
        <f>IF($B$22&lt;=$B$17,(J24-0)/($B$17-0)*$B$22,IF($B$22&lt;=$B$18,(J25-J24)/($B$18-$B$17)*($B$22-$B$17)+J24,IF($B$22&lt;=$B$21,(J28-J25)/($B$21-$B$18)*($B$22-$B$18)+J25)))</f>
        <v>0</v>
      </c>
      <c r="K29" s="32" t="b">
        <f>IF($B$22&lt;=$B$17,(K24-0)/($B$17-0)*$B$22,IF($B$22&lt;=$B$18,(K25-K24)/($B$18-$B$17)*($B$22-$B$17)+K24,IF($B$22&lt;=$B$21,(K28-K25)/($B$21-$B$18)*($B$22-$B$18)+K25)))</f>
        <v>0</v>
      </c>
      <c r="L29" s="31" t="b">
        <f>IF($B$22&lt;=$B$17,(L24-0)/($B$17-0)*$B$22,IF($B$22&lt;=$B$18,(L25-L24)/($B$18-$B$17)*($B$22-$B$17)+L24,IF($B$22&lt;=$B$21,(L28-L25)/($B$21-$B$18)*($B$22-$B$18)+L25)))</f>
        <v>0</v>
      </c>
      <c r="M29" s="32" t="b">
        <f>IF($B$22&lt;=$B$17,(M24-0)/($B$17-0)*$B$22,IF($B$22&lt;=$B$18,(M25-M24)/($B$18-$B$17)*($B$22-$B$17)+M24,IF($B$22&lt;=$B$21,(M28-M25)/($B$21-$B$18)*($B$22-$B$18)+M25)))</f>
        <v>0</v>
      </c>
      <c r="P29" s="64"/>
    </row>
    <row r="30" spans="1:16" ht="18" customHeight="1" x14ac:dyDescent="0.25">
      <c r="A30" s="164" t="s">
        <v>98</v>
      </c>
      <c r="B30" s="165"/>
      <c r="C30" s="164"/>
      <c r="D30" s="166"/>
      <c r="E30" s="165"/>
      <c r="F30" s="165"/>
      <c r="G30" s="165"/>
      <c r="H30" s="165"/>
      <c r="I30" s="165"/>
      <c r="J30" s="164"/>
      <c r="K30" s="165"/>
      <c r="L30" s="165"/>
      <c r="M30" s="166"/>
      <c r="P30" s="64" t="s">
        <v>23</v>
      </c>
    </row>
    <row r="31" spans="1:16" x14ac:dyDescent="0.25">
      <c r="A31" s="45"/>
      <c r="B31" s="4"/>
      <c r="C31" s="34"/>
      <c r="D31" s="5"/>
      <c r="E31" s="42"/>
      <c r="F31" s="5"/>
      <c r="G31" s="5"/>
      <c r="H31" s="5"/>
      <c r="I31" s="6"/>
      <c r="J31" s="34"/>
      <c r="K31" s="61"/>
      <c r="L31" s="66"/>
      <c r="M31" s="46"/>
      <c r="P31" s="64">
        <v>0.6</v>
      </c>
    </row>
    <row r="32" spans="1:16" x14ac:dyDescent="0.25">
      <c r="A32" s="45"/>
      <c r="B32" s="4"/>
      <c r="C32" s="34"/>
      <c r="D32" s="5"/>
      <c r="E32" s="42"/>
      <c r="F32" s="5"/>
      <c r="G32" s="5"/>
      <c r="H32" s="5"/>
      <c r="I32" s="6"/>
      <c r="J32" s="34"/>
      <c r="K32" s="61"/>
      <c r="L32" s="66"/>
      <c r="M32" s="46"/>
      <c r="P32" s="64">
        <v>0.68</v>
      </c>
    </row>
    <row r="33" spans="1:16" x14ac:dyDescent="0.25">
      <c r="A33" s="45"/>
      <c r="B33" s="4"/>
      <c r="C33" s="34"/>
      <c r="D33" s="5"/>
      <c r="E33" s="42"/>
      <c r="F33" s="5"/>
      <c r="G33" s="5"/>
      <c r="H33" s="5"/>
      <c r="I33" s="6"/>
      <c r="J33" s="34"/>
      <c r="K33" s="61"/>
      <c r="L33" s="66"/>
      <c r="M33" s="46"/>
      <c r="P33" s="64">
        <v>0.79</v>
      </c>
    </row>
    <row r="34" spans="1:16" x14ac:dyDescent="0.25">
      <c r="A34" s="45"/>
      <c r="B34" s="4"/>
      <c r="C34" s="34"/>
      <c r="D34" s="5"/>
      <c r="E34" s="42"/>
      <c r="F34" s="5"/>
      <c r="G34" s="5"/>
      <c r="H34" s="5"/>
      <c r="I34" s="6"/>
      <c r="J34" s="34"/>
      <c r="K34" s="61"/>
      <c r="L34" s="66"/>
      <c r="M34" s="46"/>
      <c r="P34" s="64">
        <v>0.87</v>
      </c>
    </row>
    <row r="35" spans="1:16" x14ac:dyDescent="0.25">
      <c r="A35" s="45"/>
      <c r="B35" s="4"/>
      <c r="C35" s="34"/>
      <c r="D35" s="5"/>
      <c r="E35" s="42"/>
      <c r="F35" s="5"/>
      <c r="G35" s="5"/>
      <c r="H35" s="5"/>
      <c r="I35" s="6"/>
      <c r="J35" s="34"/>
      <c r="K35" s="61"/>
      <c r="L35" s="66"/>
      <c r="M35" s="46"/>
      <c r="P35" s="64">
        <v>0.91</v>
      </c>
    </row>
    <row r="36" spans="1:16" hidden="1" x14ac:dyDescent="0.25">
      <c r="A36" s="28" t="s">
        <v>14</v>
      </c>
      <c r="B36" s="33">
        <f>B22</f>
        <v>10</v>
      </c>
      <c r="C36" s="35" t="b">
        <f>IF($B$22&lt;=$B$17,(C31-0)/($B$17-0)*$B$22,IF($B$22&lt;=$B$18,(C34-C31)/($B$18-$B$17)*($B$22-$B$17)+C31,IF($B$22&lt;=$B$21,(C35-C34)/($B$21-$B$18)*($B$22-$B$18)+C34)))</f>
        <v>0</v>
      </c>
      <c r="D36" s="29">
        <f>C36/(($D$8-$D$9)*1.163)</f>
        <v>0</v>
      </c>
      <c r="E36" s="41">
        <f>0.000115720760310885*D36^1.96267663452922</f>
        <v>0</v>
      </c>
      <c r="F36" s="29" t="b">
        <f>IF($B$22&lt;=$B$17,(F31-0)/($B$17-0)*$B$22,IF($B$22&lt;=$B$18,(F34-F31)/($B$18-$B$17)*($B$22-$B$17)+F31,IF($B$22&lt;=$B$21,(F35-F34)/($B$21-$B$18)*($B$22-$B$18)+F34)))</f>
        <v>0</v>
      </c>
      <c r="G36" s="29"/>
      <c r="H36" s="29">
        <f>F36/(($J$9-$J$8)*1.163)</f>
        <v>0</v>
      </c>
      <c r="I36" s="30">
        <f>0.000115720760310885*H36^1.96267663452922</f>
        <v>0</v>
      </c>
      <c r="J36" s="35" t="b">
        <f>IF($B$22&lt;=$B$17,(J31-0)/($B$17-0)*$B$22,IF($B$22&lt;=$B$18,(J34-J31)/($B$18-$B$17)*($B$22-$B$17)+J31,IF($B$22&lt;=$B$21,(J35-J34)/($B$21-$B$18)*($B$22-$B$18)+J34)))</f>
        <v>0</v>
      </c>
      <c r="K36" s="32" t="b">
        <f>IF($B$22&lt;=$B$17,(K31-0)/($B$17-0)*$B$22,IF($B$22&lt;=$B$18,(K34-K31)/($B$18-$B$17)*($B$22-$B$17)+K31,IF($B$22&lt;=$B$21,(K35-K34)/($B$21-$B$18)*($B$22-$B$18)+K34)))</f>
        <v>0</v>
      </c>
      <c r="L36" s="31" t="b">
        <f>IF($B$22&lt;=$B$17,(L31-0)/($B$17-0)*$B$22,IF($B$22&lt;=$B$18,(L34-L31)/($B$18-$B$17)*($B$22-$B$17)+L31,IF($B$22&lt;=$B$21,(L35-L34)/($B$21-$B$18)*($B$22-$B$18)+L34)))</f>
        <v>0</v>
      </c>
      <c r="M36" s="32" t="b">
        <f>IF($B$22&lt;=$B$17,(M31-0)/($B$17-0)*$B$22,IF($B$22&lt;=$B$18,(M34-M31)/($B$18-$B$17)*($B$22-$B$17)+M31,IF($B$22&lt;=$B$21,(M35-M34)/($B$21-$B$18)*($B$22-$B$18)+M34)))</f>
        <v>0</v>
      </c>
      <c r="P36" s="64"/>
    </row>
    <row r="37" spans="1:16" ht="16.899999999999999" customHeight="1" x14ac:dyDescent="0.25">
      <c r="A37" s="164" t="s">
        <v>99</v>
      </c>
      <c r="B37" s="165"/>
      <c r="C37" s="164"/>
      <c r="D37" s="166"/>
      <c r="E37" s="165"/>
      <c r="F37" s="165"/>
      <c r="G37" s="165"/>
      <c r="H37" s="165"/>
      <c r="I37" s="165"/>
      <c r="J37" s="164"/>
      <c r="K37" s="165"/>
      <c r="L37" s="165"/>
      <c r="M37" s="166"/>
      <c r="P37" s="64" t="s">
        <v>23</v>
      </c>
    </row>
    <row r="38" spans="1:16" x14ac:dyDescent="0.25">
      <c r="A38" s="45"/>
      <c r="B38" s="4"/>
      <c r="C38" s="34"/>
      <c r="D38" s="5"/>
      <c r="E38" s="42"/>
      <c r="F38" s="5"/>
      <c r="G38" s="5"/>
      <c r="H38" s="5"/>
      <c r="I38" s="6"/>
      <c r="J38" s="34"/>
      <c r="K38" s="61"/>
      <c r="L38" s="66"/>
      <c r="M38" s="46"/>
      <c r="P38" s="64">
        <v>0.6</v>
      </c>
    </row>
    <row r="39" spans="1:16" x14ac:dyDescent="0.25">
      <c r="A39" s="45"/>
      <c r="B39" s="4"/>
      <c r="C39" s="34"/>
      <c r="D39" s="5"/>
      <c r="E39" s="42"/>
      <c r="F39" s="5"/>
      <c r="G39" s="5"/>
      <c r="H39" s="5"/>
      <c r="I39" s="6"/>
      <c r="J39" s="34"/>
      <c r="K39" s="61"/>
      <c r="L39" s="66"/>
      <c r="M39" s="46"/>
      <c r="P39" s="64">
        <v>0.68</v>
      </c>
    </row>
    <row r="40" spans="1:16" x14ac:dyDescent="0.25">
      <c r="A40" s="45"/>
      <c r="B40" s="4"/>
      <c r="C40" s="34"/>
      <c r="D40" s="5"/>
      <c r="E40" s="42"/>
      <c r="F40" s="5"/>
      <c r="G40" s="5"/>
      <c r="H40" s="5"/>
      <c r="I40" s="6"/>
      <c r="J40" s="34"/>
      <c r="K40" s="61"/>
      <c r="L40" s="66"/>
      <c r="M40" s="46"/>
      <c r="P40" s="64">
        <v>0.79</v>
      </c>
    </row>
    <row r="41" spans="1:16" x14ac:dyDescent="0.25">
      <c r="A41" s="45"/>
      <c r="B41" s="4"/>
      <c r="C41" s="34"/>
      <c r="D41" s="5"/>
      <c r="E41" s="42"/>
      <c r="F41" s="5"/>
      <c r="G41" s="5"/>
      <c r="H41" s="5"/>
      <c r="I41" s="6"/>
      <c r="J41" s="34"/>
      <c r="K41" s="61"/>
      <c r="L41" s="66"/>
      <c r="M41" s="46"/>
      <c r="P41" s="64">
        <v>0.87</v>
      </c>
    </row>
    <row r="42" spans="1:16" x14ac:dyDescent="0.25">
      <c r="A42" s="54"/>
      <c r="B42" s="55"/>
      <c r="C42" s="56"/>
      <c r="D42" s="57"/>
      <c r="E42" s="58"/>
      <c r="F42" s="57"/>
      <c r="G42" s="57"/>
      <c r="H42" s="57"/>
      <c r="I42" s="59"/>
      <c r="J42" s="56"/>
      <c r="K42" s="62"/>
      <c r="L42" s="66"/>
      <c r="M42" s="60"/>
      <c r="P42" s="64">
        <v>0.91</v>
      </c>
    </row>
    <row r="43" spans="1:16" hidden="1" x14ac:dyDescent="0.25">
      <c r="A43" s="47" t="s">
        <v>14</v>
      </c>
      <c r="B43" s="48">
        <f>B22</f>
        <v>10</v>
      </c>
      <c r="C43" s="49" t="b">
        <f>IF($B$22&lt;=$B$17,(C38-0)/($B$17-0)*$B$22,IF($B$22&lt;=$B$18,(C41-C38)/($B$18-$B$17)*($B$22-$B$17)+C38,IF($B$22&lt;=$B$21,(C42-C41)/($B$21-$B$18)*($B$22-$B$18)+C41)))</f>
        <v>0</v>
      </c>
      <c r="D43" s="50">
        <f>C43/(($D$8-$D$9)*1.163)</f>
        <v>0</v>
      </c>
      <c r="E43" s="51">
        <f>0.000115720760310885*D43^1.96267663452922</f>
        <v>0</v>
      </c>
      <c r="F43" s="50" t="b">
        <f>IF($B$22&lt;=$B$17,(F38-0)/($B$17-0)*$B$22,IF($B$22&lt;=$B$18,(F41-F38)/($B$18-$B$17)*($B$22-$B$17)+F38,IF($B$22&lt;=$B$21,(F42-F41)/($B$21-$B$18)*($B$22-$B$18)+F41)))</f>
        <v>0</v>
      </c>
      <c r="G43" s="50"/>
      <c r="H43" s="50">
        <f>F43/(($J$9-$J$8)*1.163)</f>
        <v>0</v>
      </c>
      <c r="I43" s="52">
        <f>0.000115720760310885*H43^1.96267663452922</f>
        <v>0</v>
      </c>
      <c r="J43" s="49" t="b">
        <f>IF($B$22&lt;=$B$17,(J38-0)/($B$17-0)*$B$22,IF($B$22&lt;=$B$18,(J41-J38)/($B$18-$B$17)*($B$22-$B$17)+J38,IF($B$22&lt;=$B$21,(J42-J41)/($B$21-$B$18)*($B$22-$B$18)+J41)))</f>
        <v>0</v>
      </c>
      <c r="K43" s="53" t="b">
        <f>IF($B$22&lt;=$B$17,(K38-0)/($B$17-0)*$B$22,IF($B$22&lt;=$B$18,(K41-K38)/($B$18-$B$17)*($B$22-$B$17)+K38,IF($B$22&lt;=$B$21,(K42-K41)/($B$21-$B$18)*($B$22-$B$18)+K41)))</f>
        <v>0</v>
      </c>
      <c r="L43" s="67" t="b">
        <f>IF($B$22&lt;=$B$17,(L38-0)/($B$17-0)*$B$22,IF($B$22&lt;=$B$18,(L41-L38)/($B$18-$B$17)*($B$22-$B$17)+L38,IF($B$22&lt;=$B$21,(L42-L41)/($B$21-$B$18)*($B$22-$B$18)+L41)))</f>
        <v>0</v>
      </c>
      <c r="M43" s="53" t="b">
        <f>IF($B$22&lt;=$B$17,(M38-0)/($B$17-0)*$B$22,IF($B$22&lt;=$B$18,(M41-M38)/($B$18-$B$17)*($B$22-$B$17)+M38,IF($B$22&lt;=$B$21,(M42-M41)/($B$21-$B$18)*($B$22-$B$18)+M41)))</f>
        <v>0</v>
      </c>
    </row>
    <row r="44" spans="1:16" ht="9.4" customHeight="1" x14ac:dyDescent="0.25">
      <c r="A44" s="7" t="s">
        <v>85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68"/>
      <c r="M44" s="65" t="str">
        <f>'Quatro Canal'!M44</f>
        <v>v11-10-2017</v>
      </c>
    </row>
    <row r="45" spans="1:16" ht="9.4" customHeight="1" x14ac:dyDescent="0.25">
      <c r="A45" s="7" t="s">
        <v>53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6" ht="9.4" customHeight="1" x14ac:dyDescent="0.25">
      <c r="A46" s="7" t="s">
        <v>54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6" s="3" customFormat="1" ht="16.149999999999999" hidden="1" customHeight="1" x14ac:dyDescent="0.25"/>
    <row r="48" spans="1:16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</sheetData>
  <sheetProtection algorithmName="SHA-512" hashValue="Ury4UuW7EEV/nWKJMDKtfkBxHEp1x9zcrCstPriw5aaw6UJY7vvXNxC5TdYbDkVFhJgeryRx/S6blETo6BgcCA==" saltValue="KpoL+io2uXnMiqnL7+WAtg==" spinCount="100000" sheet="1" selectLockedCells="1"/>
  <mergeCells count="11">
    <mergeCell ref="A12:D12"/>
    <mergeCell ref="A16:M16"/>
    <mergeCell ref="A23:M23"/>
    <mergeCell ref="A30:M30"/>
    <mergeCell ref="A37:M37"/>
    <mergeCell ref="A8:C8"/>
    <mergeCell ref="F8:I8"/>
    <mergeCell ref="A9:C9"/>
    <mergeCell ref="F9:I9"/>
    <mergeCell ref="A10:C10"/>
    <mergeCell ref="F10:I10"/>
  </mergeCells>
  <dataValidations count="8">
    <dataValidation type="decimal" errorStyle="information" allowBlank="1" showErrorMessage="1" error="Eingabe außerhalb des gültigen Bereichs." prompt="20°C bis 35°C" sqref="J11" xr:uid="{00000000-0002-0000-0200-000000000000}">
      <formula1>0.01</formula1>
      <formula2>1</formula2>
    </dataValidation>
    <dataValidation type="whole" errorStyle="information" allowBlank="1" showErrorMessage="1" error="Eingabe außerhalb des gültigen Bereichs." prompt="Eingabe zwischen 5°C bis 20°C" sqref="J8" xr:uid="{00000000-0002-0000-0200-000001000000}">
      <formula1>5</formula1>
      <formula2>20</formula2>
    </dataValidation>
    <dataValidation type="whole" errorStyle="information" allowBlank="1" showErrorMessage="1" error="Eingabe außerhalb des gültigen Bereichs." prompt="Eingabe zwischen Vorlauftemp. und Raumtemp." sqref="J9" xr:uid="{00000000-0002-0000-0200-000002000000}">
      <formula1>J8</formula1>
      <formula2>J10</formula2>
    </dataValidation>
    <dataValidation type="whole" errorStyle="information" allowBlank="1" showErrorMessage="1" error="Temperatur außerhalb des gütligen Bereichs." prompt="Eingabe zwischen 30°C bis 95°C" sqref="D8" xr:uid="{00000000-0002-0000-02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D9" xr:uid="{00000000-0002-0000-0200-000004000000}">
      <formula1>D10</formula1>
      <formula2>D8</formula2>
    </dataValidation>
    <dataValidation type="whole" errorStyle="information" allowBlank="1" showErrorMessage="1" error="Eingabe außerhalb des gültigen Bereichs." prompt="Eingabe zwischen 16°C bis 30°C" sqref="D10" xr:uid="{00000000-0002-0000-0200-000005000000}">
      <formula1>16</formula1>
      <formula2>30</formula2>
    </dataValidation>
    <dataValidation type="whole" errorStyle="information" allowBlank="1" showErrorMessage="1" error="Eingabe außerhalb des gültigen Bereichs." prompt="20°C bis 35°C" sqref="J10" xr:uid="{00000000-0002-0000-0200-000006000000}">
      <formula1>20</formula1>
      <formula2>35</formula2>
    </dataValidation>
    <dataValidation type="whole" errorStyle="information" allowBlank="1" showErrorMessage="1" error="Eingabe außerhalb des gültigen Bereichs." prompt="Eingabe zwischen 0% und 100%" sqref="E12" xr:uid="{00000000-0002-0000-0200-000007000000}">
      <formula1>0</formula1>
      <formula2>100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54"/>
  <sheetViews>
    <sheetView topLeftCell="A13" workbookViewId="0">
      <selection activeCell="M45" sqref="M45"/>
    </sheetView>
  </sheetViews>
  <sheetFormatPr defaultColWidth="0" defaultRowHeight="15" zeroHeight="1" x14ac:dyDescent="0.25"/>
  <cols>
    <col min="1" max="1" width="7" style="1" customWidth="1"/>
    <col min="2" max="2" width="6.140625" style="1" customWidth="1"/>
    <col min="3" max="3" width="7" style="1" customWidth="1"/>
    <col min="4" max="4" width="6.7109375" style="1" customWidth="1"/>
    <col min="5" max="13" width="7" style="1" customWidth="1"/>
    <col min="14" max="14" width="2.140625" style="1" customWidth="1"/>
    <col min="15" max="16384" width="11.42578125" style="1" hidden="1"/>
  </cols>
  <sheetData>
    <row r="1" spans="1:16" s="3" customFormat="1" x14ac:dyDescent="0.25">
      <c r="A1" s="22"/>
    </row>
    <row r="2" spans="1:16" s="3" customFormat="1" x14ac:dyDescent="0.25">
      <c r="A2" s="24" t="s">
        <v>9</v>
      </c>
      <c r="B2" s="23"/>
    </row>
    <row r="3" spans="1:16" s="3" customFormat="1" x14ac:dyDescent="0.25">
      <c r="A3" s="22"/>
    </row>
    <row r="4" spans="1:16" s="3" customFormat="1" x14ac:dyDescent="0.25">
      <c r="A4" s="36" t="s">
        <v>11</v>
      </c>
    </row>
    <row r="5" spans="1:16" s="3" customFormat="1" ht="6" customHeight="1" x14ac:dyDescent="0.2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</row>
    <row r="6" spans="1:16" x14ac:dyDescent="0.25">
      <c r="A6" s="13" t="s">
        <v>10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14"/>
    </row>
    <row r="7" spans="1:16" x14ac:dyDescent="0.25">
      <c r="A7" s="13" t="s">
        <v>6</v>
      </c>
      <c r="B7" s="8"/>
      <c r="C7" s="8"/>
      <c r="D7" s="8"/>
      <c r="E7" s="8"/>
      <c r="F7" s="9" t="s">
        <v>22</v>
      </c>
      <c r="G7" s="9"/>
      <c r="H7" s="9"/>
      <c r="I7" s="8"/>
      <c r="J7" s="8"/>
      <c r="K7" s="8"/>
      <c r="L7" s="37"/>
      <c r="M7" s="14"/>
    </row>
    <row r="8" spans="1:16" x14ac:dyDescent="0.25">
      <c r="A8" s="160" t="s">
        <v>0</v>
      </c>
      <c r="B8" s="161"/>
      <c r="C8" s="161"/>
      <c r="D8" s="86">
        <f>'Quatro Canal'!D8</f>
        <v>60</v>
      </c>
      <c r="E8" s="69"/>
      <c r="F8" s="161" t="s">
        <v>0</v>
      </c>
      <c r="G8" s="161"/>
      <c r="H8" s="161"/>
      <c r="I8" s="161"/>
      <c r="J8" s="86">
        <f>'Quatro Canal'!J8</f>
        <v>8</v>
      </c>
      <c r="K8" s="8"/>
      <c r="L8" s="8"/>
      <c r="M8" s="14"/>
    </row>
    <row r="9" spans="1:16" x14ac:dyDescent="0.25">
      <c r="A9" s="160" t="s">
        <v>8</v>
      </c>
      <c r="B9" s="161"/>
      <c r="C9" s="161"/>
      <c r="D9" s="86">
        <f>'Quatro Canal'!D9</f>
        <v>45</v>
      </c>
      <c r="E9" s="69"/>
      <c r="F9" s="161" t="s">
        <v>8</v>
      </c>
      <c r="G9" s="161"/>
      <c r="H9" s="161"/>
      <c r="I9" s="161"/>
      <c r="J9" s="86">
        <f>'Quatro Canal'!J9</f>
        <v>14</v>
      </c>
      <c r="K9" s="8"/>
      <c r="L9" s="8"/>
      <c r="M9" s="14"/>
    </row>
    <row r="10" spans="1:16" x14ac:dyDescent="0.25">
      <c r="A10" s="160" t="s">
        <v>1</v>
      </c>
      <c r="B10" s="161"/>
      <c r="C10" s="161"/>
      <c r="D10" s="86">
        <f>'Quatro Canal'!D10</f>
        <v>20</v>
      </c>
      <c r="E10" s="69"/>
      <c r="F10" s="161" t="s">
        <v>1</v>
      </c>
      <c r="G10" s="161"/>
      <c r="H10" s="161"/>
      <c r="I10" s="161"/>
      <c r="J10" s="86">
        <f>'Quatro Canal'!J10</f>
        <v>26</v>
      </c>
      <c r="K10" s="8"/>
      <c r="L10" s="8"/>
      <c r="M10" s="14"/>
    </row>
    <row r="11" spans="1:16" x14ac:dyDescent="0.25">
      <c r="A11" s="15"/>
      <c r="B11" s="8"/>
      <c r="C11" s="8"/>
      <c r="D11" s="8"/>
      <c r="E11" s="8"/>
      <c r="F11" s="8" t="s">
        <v>60</v>
      </c>
      <c r="G11" s="8"/>
      <c r="H11" s="8"/>
      <c r="I11" s="8"/>
      <c r="J11" s="89">
        <f>'Quatro Canal'!J11</f>
        <v>0.5</v>
      </c>
      <c r="K11" s="8"/>
      <c r="L11" s="8"/>
      <c r="M11" s="14"/>
    </row>
    <row r="12" spans="1:16" ht="13.9" hidden="1" customHeight="1" x14ac:dyDescent="0.25">
      <c r="A12" s="162" t="s">
        <v>12</v>
      </c>
      <c r="B12" s="163"/>
      <c r="C12" s="163"/>
      <c r="D12" s="163"/>
      <c r="E12" s="39">
        <v>100</v>
      </c>
      <c r="F12" s="8" t="s">
        <v>13</v>
      </c>
      <c r="G12" s="8"/>
      <c r="H12" s="8"/>
      <c r="I12" s="8" t="s">
        <v>18</v>
      </c>
      <c r="J12" s="8" t="s">
        <v>17</v>
      </c>
      <c r="K12" s="8"/>
      <c r="L12" s="8"/>
      <c r="M12" s="14"/>
    </row>
    <row r="13" spans="1:16" ht="6" customHeight="1" x14ac:dyDescent="0.25">
      <c r="A13" s="16"/>
      <c r="B13" s="17"/>
      <c r="C13" s="17"/>
      <c r="D13" s="17"/>
      <c r="E13" s="18"/>
      <c r="F13" s="18"/>
      <c r="G13" s="18"/>
      <c r="H13" s="18"/>
      <c r="I13" s="18"/>
      <c r="J13" s="18"/>
      <c r="K13" s="18"/>
      <c r="L13" s="18"/>
      <c r="M13" s="19"/>
    </row>
    <row r="14" spans="1:16" x14ac:dyDescent="0.2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</row>
    <row r="15" spans="1:16" s="2" customFormat="1" ht="95.45" customHeight="1" x14ac:dyDescent="0.25">
      <c r="A15" s="27" t="s">
        <v>2</v>
      </c>
      <c r="B15" s="20" t="s">
        <v>3</v>
      </c>
      <c r="C15" s="27" t="str">
        <f>CONCATENATE("Wärmeleistung * ",D8,"/",D9,"/",D10," [W]")</f>
        <v>Wärmeleistung * 60/45/20 [W]</v>
      </c>
      <c r="D15" s="40" t="s">
        <v>5</v>
      </c>
      <c r="E15" s="44" t="s">
        <v>16</v>
      </c>
      <c r="F15" s="20" t="str">
        <f>CONCATENATE("Sens. Kälteleistung * ",J8,"/",J9,"/",J10," [W]")</f>
        <v>Sens. Kälteleistung * 8/14/26 [W]</v>
      </c>
      <c r="G15" s="20" t="str">
        <f>CONCATENATE("Tot. Kälteleistung ",J8,"/",J9,"/",J10," [W]")</f>
        <v>Tot. Kälteleistung 8/14/26 [W]</v>
      </c>
      <c r="H15" s="20" t="s">
        <v>7</v>
      </c>
      <c r="I15" s="21" t="s">
        <v>16</v>
      </c>
      <c r="J15" s="27" t="s">
        <v>21</v>
      </c>
      <c r="K15" s="43" t="s">
        <v>82</v>
      </c>
      <c r="L15" s="20" t="s">
        <v>15</v>
      </c>
      <c r="M15" s="26" t="s">
        <v>4</v>
      </c>
    </row>
    <row r="16" spans="1:16" ht="18" customHeight="1" x14ac:dyDescent="0.25">
      <c r="A16" s="164" t="s">
        <v>100</v>
      </c>
      <c r="B16" s="165"/>
      <c r="C16" s="164"/>
      <c r="D16" s="166"/>
      <c r="E16" s="165"/>
      <c r="F16" s="165"/>
      <c r="G16" s="165"/>
      <c r="H16" s="165"/>
      <c r="I16" s="165"/>
      <c r="J16" s="164"/>
      <c r="K16" s="165"/>
      <c r="L16" s="165"/>
      <c r="M16" s="166"/>
      <c r="P16" s="64" t="s">
        <v>23</v>
      </c>
    </row>
    <row r="17" spans="1:16" x14ac:dyDescent="0.25">
      <c r="A17" s="45"/>
      <c r="B17" s="4"/>
      <c r="C17" s="34"/>
      <c r="D17" s="5"/>
      <c r="E17" s="42"/>
      <c r="F17" s="5"/>
      <c r="G17" s="5"/>
      <c r="H17" s="5"/>
      <c r="I17" s="6"/>
      <c r="J17" s="34"/>
      <c r="K17" s="61"/>
      <c r="L17" s="66"/>
      <c r="M17" s="46"/>
      <c r="P17" s="64">
        <v>0.6</v>
      </c>
    </row>
    <row r="18" spans="1:16" x14ac:dyDescent="0.25">
      <c r="A18" s="45"/>
      <c r="B18" s="4"/>
      <c r="C18" s="34"/>
      <c r="D18" s="5"/>
      <c r="E18" s="42"/>
      <c r="F18" s="5"/>
      <c r="G18" s="5"/>
      <c r="H18" s="5"/>
      <c r="I18" s="6"/>
      <c r="J18" s="34"/>
      <c r="K18" s="61"/>
      <c r="L18" s="66"/>
      <c r="M18" s="46"/>
      <c r="P18" s="64">
        <v>0.68</v>
      </c>
    </row>
    <row r="19" spans="1:16" x14ac:dyDescent="0.25">
      <c r="A19" s="45"/>
      <c r="B19" s="4"/>
      <c r="C19" s="34"/>
      <c r="D19" s="5"/>
      <c r="E19" s="42"/>
      <c r="F19" s="5"/>
      <c r="G19" s="5"/>
      <c r="H19" s="5"/>
      <c r="I19" s="6"/>
      <c r="J19" s="34"/>
      <c r="K19" s="61"/>
      <c r="L19" s="66"/>
      <c r="M19" s="46"/>
      <c r="P19" s="64">
        <v>0.79</v>
      </c>
    </row>
    <row r="20" spans="1:16" x14ac:dyDescent="0.25">
      <c r="A20" s="45"/>
      <c r="B20" s="4"/>
      <c r="C20" s="34"/>
      <c r="D20" s="5"/>
      <c r="E20" s="42"/>
      <c r="F20" s="5"/>
      <c r="G20" s="5"/>
      <c r="H20" s="5"/>
      <c r="I20" s="6"/>
      <c r="J20" s="34"/>
      <c r="K20" s="61"/>
      <c r="L20" s="66"/>
      <c r="M20" s="46"/>
      <c r="P20" s="64">
        <v>0.87</v>
      </c>
    </row>
    <row r="21" spans="1:16" x14ac:dyDescent="0.25">
      <c r="A21" s="45"/>
      <c r="B21" s="4"/>
      <c r="C21" s="34"/>
      <c r="D21" s="5"/>
      <c r="E21" s="42"/>
      <c r="F21" s="5"/>
      <c r="G21" s="5"/>
      <c r="H21" s="5"/>
      <c r="I21" s="6"/>
      <c r="J21" s="34"/>
      <c r="K21" s="61"/>
      <c r="L21" s="66"/>
      <c r="M21" s="46"/>
      <c r="P21" s="64">
        <v>0.91</v>
      </c>
    </row>
    <row r="22" spans="1:16" hidden="1" x14ac:dyDescent="0.25">
      <c r="A22" s="28" t="s">
        <v>14</v>
      </c>
      <c r="B22" s="33">
        <f>E12/10</f>
        <v>10</v>
      </c>
      <c r="C22" s="35" t="b">
        <f>IF($B$22&lt;=$B$17,(C17-0)/($B$17-0)*$B$22,IF($B$22&lt;=$B$18,(C18-C17)/($B$18-$B$17)*($B$22-$B$17)+C17,IF($B$22&lt;=$B$21,(C21-C18)/($B$21-$B$18)*($B$22-$B$18)+C18)))</f>
        <v>0</v>
      </c>
      <c r="D22" s="29">
        <f>C22/(($D$8-$D$9)*1.163)</f>
        <v>0</v>
      </c>
      <c r="E22" s="41">
        <f>0.000115720760310885*D22^1.96267663452922</f>
        <v>0</v>
      </c>
      <c r="F22" s="29" t="b">
        <f>IF($B$22&lt;=$B$17,(F17-0)/($B$17-0)*$B$22,IF($B$22&lt;=$B$18,(F18-F17)/($B$18-$B$17)*($B$22-$B$17)+F17,IF($B$22&lt;=$B$21,(F21-F18)/($B$21-$B$18)*($B$22-$B$18)+F18)))</f>
        <v>0</v>
      </c>
      <c r="G22" s="5">
        <f t="shared" ref="G22" si="0">$F22/(IF((237.3*LN(($J$11*EXP(17.27*($J$10/($J$10+237.3))))))/(17.27-LN(($J$11*EXP(17.27*($J$10/($J$10+237.3))))))&lt;($J$8+$J$9)/2,1,1/(1+((2258*((0.622/((101325/(1*611*EXP(17.27*(($J$8+$J$9)/2/(($J$8+$J$9)/2+237.3))))))-1)*1000-(0.622/((101325/($J$11*611*EXP(17.27*($J$10/($J$10+237.3))))))-1)*1000))/(1005*(($J$8+$J$9)/2-$J$10))))-((-0.000625*$B22+0.00625)*($J$10-($J$8+$J$9)/2)-(-0.000625*$B22+0.00625)*10)))</f>
        <v>0</v>
      </c>
      <c r="H22" s="29">
        <f>F22/(($J$9-$J$8)*1.163)</f>
        <v>0</v>
      </c>
      <c r="I22" s="30">
        <f>0.000115720760310885*H22^1.96267663452922</f>
        <v>0</v>
      </c>
      <c r="J22" s="35" t="b">
        <f>IF($B$22&lt;=$B$17,(J17-0)/($B$17-0)*$B$22,IF($B$22&lt;=$B$18,(J18-J17)/($B$18-$B$17)*($B$22-$B$17)+J17,IF($B$22&lt;=$B$21,(J21-J18)/($B$21-$B$18)*($B$22-$B$18)+J18)))</f>
        <v>0</v>
      </c>
      <c r="K22" s="32" t="b">
        <f>IF($B$22&lt;=$B$17,(K17-0)/($B$17-0)*$B$22,IF($B$22&lt;=$B$18,(K18-K17)/($B$18-$B$17)*($B$22-$B$17)+K17,IF($B$22&lt;=$B$21,(K21-K18)/($B$21-$B$18)*($B$22-$B$18)+K18)))</f>
        <v>0</v>
      </c>
      <c r="L22" s="31" t="b">
        <f>IF($B$22&lt;=$B$17,(L17-0)/($B$17-0)*$B$22,IF($B$22&lt;=$B$18,(L18-L17)/($B$18-$B$17)*($B$22-$B$17)+L17,IF($B$22&lt;=$B$21,(L21-L18)/($B$21-$B$18)*($B$22-$B$18)+L18)))</f>
        <v>0</v>
      </c>
      <c r="M22" s="32" t="b">
        <f>IF($B$22&lt;=$B$17,(M17-0)/($B$17-0)*$B$22,IF($B$22&lt;=$B$18,(M18-M17)/($B$18-$B$17)*($B$22-$B$17)+M17,IF($B$22&lt;=$B$21,(M21-M18)/($B$21-$B$18)*($B$22-$B$18)+M18)))</f>
        <v>0</v>
      </c>
      <c r="P22" s="64"/>
    </row>
    <row r="23" spans="1:16" ht="16.899999999999999" customHeight="1" x14ac:dyDescent="0.25">
      <c r="A23" s="164" t="s">
        <v>103</v>
      </c>
      <c r="B23" s="165"/>
      <c r="C23" s="164"/>
      <c r="D23" s="166"/>
      <c r="E23" s="165"/>
      <c r="F23" s="165"/>
      <c r="G23" s="165"/>
      <c r="H23" s="165"/>
      <c r="I23" s="165"/>
      <c r="J23" s="164"/>
      <c r="K23" s="165"/>
      <c r="L23" s="165"/>
      <c r="M23" s="166"/>
      <c r="P23" s="64" t="s">
        <v>23</v>
      </c>
    </row>
    <row r="24" spans="1:16" x14ac:dyDescent="0.25">
      <c r="A24" s="45"/>
      <c r="B24" s="4"/>
      <c r="C24" s="34"/>
      <c r="D24" s="5"/>
      <c r="E24" s="42"/>
      <c r="F24" s="5"/>
      <c r="G24" s="5"/>
      <c r="H24" s="5"/>
      <c r="I24" s="6"/>
      <c r="J24" s="34"/>
      <c r="K24" s="61"/>
      <c r="L24" s="66"/>
      <c r="M24" s="46"/>
      <c r="P24" s="64">
        <v>0.6</v>
      </c>
    </row>
    <row r="25" spans="1:16" x14ac:dyDescent="0.25">
      <c r="A25" s="45"/>
      <c r="B25" s="4"/>
      <c r="C25" s="34"/>
      <c r="D25" s="5"/>
      <c r="E25" s="42"/>
      <c r="F25" s="5"/>
      <c r="G25" s="5"/>
      <c r="H25" s="5"/>
      <c r="I25" s="6"/>
      <c r="J25" s="34"/>
      <c r="K25" s="61"/>
      <c r="L25" s="66"/>
      <c r="M25" s="46"/>
      <c r="P25" s="64">
        <v>0.68</v>
      </c>
    </row>
    <row r="26" spans="1:16" x14ac:dyDescent="0.25">
      <c r="A26" s="45"/>
      <c r="B26" s="4"/>
      <c r="C26" s="34"/>
      <c r="D26" s="5"/>
      <c r="E26" s="42"/>
      <c r="F26" s="5"/>
      <c r="G26" s="5"/>
      <c r="H26" s="5"/>
      <c r="I26" s="6"/>
      <c r="J26" s="34"/>
      <c r="K26" s="61"/>
      <c r="L26" s="66"/>
      <c r="M26" s="46"/>
      <c r="P26" s="64">
        <v>0.79</v>
      </c>
    </row>
    <row r="27" spans="1:16" x14ac:dyDescent="0.25">
      <c r="A27" s="45"/>
      <c r="B27" s="4"/>
      <c r="C27" s="34"/>
      <c r="D27" s="5"/>
      <c r="E27" s="42"/>
      <c r="F27" s="5"/>
      <c r="G27" s="5"/>
      <c r="H27" s="5"/>
      <c r="I27" s="6"/>
      <c r="J27" s="34"/>
      <c r="K27" s="61"/>
      <c r="L27" s="66"/>
      <c r="M27" s="46"/>
      <c r="P27" s="64">
        <v>0.87</v>
      </c>
    </row>
    <row r="28" spans="1:16" x14ac:dyDescent="0.25">
      <c r="A28" s="45"/>
      <c r="B28" s="4"/>
      <c r="C28" s="34"/>
      <c r="D28" s="5"/>
      <c r="E28" s="42"/>
      <c r="F28" s="5"/>
      <c r="G28" s="5"/>
      <c r="H28" s="5"/>
      <c r="I28" s="6"/>
      <c r="J28" s="34"/>
      <c r="K28" s="61"/>
      <c r="L28" s="66"/>
      <c r="M28" s="46"/>
      <c r="P28" s="64">
        <v>0.91</v>
      </c>
    </row>
    <row r="29" spans="1:16" hidden="1" x14ac:dyDescent="0.25">
      <c r="A29" s="28" t="s">
        <v>14</v>
      </c>
      <c r="B29" s="33">
        <f>B22</f>
        <v>10</v>
      </c>
      <c r="C29" s="35" t="b">
        <f>IF($B$22&lt;=$B$17,(C24-0)/($B$17-0)*$B$22,IF($B$22&lt;=$B$18,(C25-C24)/($B$18-$B$17)*($B$22-$B$17)+C24,IF($B$22&lt;=$B$21,(C28-C25)/($B$21-$B$18)*($B$22-$B$18)+C25)))</f>
        <v>0</v>
      </c>
      <c r="D29" s="29">
        <f>C29/(($D$8-$D$9)*1.163)</f>
        <v>0</v>
      </c>
      <c r="E29" s="41">
        <f>0.000115720760310885*D29^1.96267663452922</f>
        <v>0</v>
      </c>
      <c r="F29" s="29" t="b">
        <f>IF($B$22&lt;=$B$17,(F24-0)/($B$17-0)*$B$22,IF($B$22&lt;=$B$18,(F25-F24)/($B$18-$B$17)*($B$22-$B$17)+F24,IF($B$22&lt;=$B$21,(F28-F25)/($B$21-$B$18)*($B$22-$B$18)+F25)))</f>
        <v>0</v>
      </c>
      <c r="G29" s="29"/>
      <c r="H29" s="29">
        <f>F29/(($J$9-$J$8)*1.163)</f>
        <v>0</v>
      </c>
      <c r="I29" s="30">
        <f>0.000115720760310885*H29^1.96267663452922</f>
        <v>0</v>
      </c>
      <c r="J29" s="35" t="b">
        <f>IF($B$22&lt;=$B$17,(J24-0)/($B$17-0)*$B$22,IF($B$22&lt;=$B$18,(J25-J24)/($B$18-$B$17)*($B$22-$B$17)+J24,IF($B$22&lt;=$B$21,(J28-J25)/($B$21-$B$18)*($B$22-$B$18)+J25)))</f>
        <v>0</v>
      </c>
      <c r="K29" s="32" t="b">
        <f>IF($B$22&lt;=$B$17,(K24-0)/($B$17-0)*$B$22,IF($B$22&lt;=$B$18,(K25-K24)/($B$18-$B$17)*($B$22-$B$17)+K24,IF($B$22&lt;=$B$21,(K28-K25)/($B$21-$B$18)*($B$22-$B$18)+K25)))</f>
        <v>0</v>
      </c>
      <c r="L29" s="31" t="b">
        <f>IF($B$22&lt;=$B$17,(L24-0)/($B$17-0)*$B$22,IF($B$22&lt;=$B$18,(L25-L24)/($B$18-$B$17)*($B$22-$B$17)+L24,IF($B$22&lt;=$B$21,(L28-L25)/($B$21-$B$18)*($B$22-$B$18)+L25)))</f>
        <v>0</v>
      </c>
      <c r="M29" s="32" t="b">
        <f>IF($B$22&lt;=$B$17,(M24-0)/($B$17-0)*$B$22,IF($B$22&lt;=$B$18,(M25-M24)/($B$18-$B$17)*($B$22-$B$17)+M24,IF($B$22&lt;=$B$21,(M28-M25)/($B$21-$B$18)*($B$22-$B$18)+M25)))</f>
        <v>0</v>
      </c>
      <c r="P29" s="64"/>
    </row>
    <row r="30" spans="1:16" ht="18" customHeight="1" x14ac:dyDescent="0.25">
      <c r="A30" s="164" t="s">
        <v>104</v>
      </c>
      <c r="B30" s="165"/>
      <c r="C30" s="164"/>
      <c r="D30" s="166"/>
      <c r="E30" s="165"/>
      <c r="F30" s="165"/>
      <c r="G30" s="165"/>
      <c r="H30" s="165"/>
      <c r="I30" s="165"/>
      <c r="J30" s="164"/>
      <c r="K30" s="165"/>
      <c r="L30" s="165"/>
      <c r="M30" s="166"/>
      <c r="P30" s="64" t="s">
        <v>23</v>
      </c>
    </row>
    <row r="31" spans="1:16" x14ac:dyDescent="0.25">
      <c r="A31" s="45"/>
      <c r="B31" s="4"/>
      <c r="C31" s="34"/>
      <c r="D31" s="5"/>
      <c r="E31" s="42"/>
      <c r="F31" s="5"/>
      <c r="G31" s="5"/>
      <c r="H31" s="5"/>
      <c r="I31" s="6"/>
      <c r="J31" s="34"/>
      <c r="K31" s="61"/>
      <c r="L31" s="66"/>
      <c r="M31" s="46"/>
      <c r="P31" s="64">
        <v>0.6</v>
      </c>
    </row>
    <row r="32" spans="1:16" x14ac:dyDescent="0.25">
      <c r="A32" s="45"/>
      <c r="B32" s="4"/>
      <c r="C32" s="34"/>
      <c r="D32" s="5"/>
      <c r="E32" s="42"/>
      <c r="F32" s="5"/>
      <c r="G32" s="5"/>
      <c r="H32" s="5"/>
      <c r="I32" s="6"/>
      <c r="J32" s="34"/>
      <c r="K32" s="61"/>
      <c r="L32" s="66"/>
      <c r="M32" s="46"/>
      <c r="P32" s="64">
        <v>0.68</v>
      </c>
    </row>
    <row r="33" spans="1:16" x14ac:dyDescent="0.25">
      <c r="A33" s="45"/>
      <c r="B33" s="4"/>
      <c r="C33" s="34"/>
      <c r="D33" s="5"/>
      <c r="E33" s="42"/>
      <c r="F33" s="5"/>
      <c r="G33" s="5"/>
      <c r="H33" s="5"/>
      <c r="I33" s="6"/>
      <c r="J33" s="34"/>
      <c r="K33" s="61"/>
      <c r="L33" s="66"/>
      <c r="M33" s="46"/>
      <c r="P33" s="64">
        <v>0.79</v>
      </c>
    </row>
    <row r="34" spans="1:16" x14ac:dyDescent="0.25">
      <c r="A34" s="45"/>
      <c r="B34" s="4"/>
      <c r="C34" s="34"/>
      <c r="D34" s="5"/>
      <c r="E34" s="42"/>
      <c r="F34" s="5"/>
      <c r="G34" s="5"/>
      <c r="H34" s="5"/>
      <c r="I34" s="6"/>
      <c r="J34" s="34"/>
      <c r="K34" s="61"/>
      <c r="L34" s="66"/>
      <c r="M34" s="46"/>
      <c r="P34" s="64">
        <v>0.87</v>
      </c>
    </row>
    <row r="35" spans="1:16" x14ac:dyDescent="0.25">
      <c r="A35" s="45"/>
      <c r="B35" s="4"/>
      <c r="C35" s="34"/>
      <c r="D35" s="5"/>
      <c r="E35" s="42"/>
      <c r="F35" s="5"/>
      <c r="G35" s="5"/>
      <c r="H35" s="5"/>
      <c r="I35" s="6"/>
      <c r="J35" s="34"/>
      <c r="K35" s="61"/>
      <c r="L35" s="66"/>
      <c r="M35" s="46"/>
      <c r="P35" s="64">
        <v>0.91</v>
      </c>
    </row>
    <row r="36" spans="1:16" hidden="1" x14ac:dyDescent="0.25">
      <c r="A36" s="28" t="s">
        <v>14</v>
      </c>
      <c r="B36" s="33">
        <f>B22</f>
        <v>10</v>
      </c>
      <c r="C36" s="35" t="b">
        <f>IF($B$22&lt;=$B$17,(C31-0)/($B$17-0)*$B$22,IF($B$22&lt;=$B$18,(C34-C31)/($B$18-$B$17)*($B$22-$B$17)+C31,IF($B$22&lt;=$B$21,(C35-C34)/($B$21-$B$18)*($B$22-$B$18)+C34)))</f>
        <v>0</v>
      </c>
      <c r="D36" s="29">
        <f>C36/(($D$8-$D$9)*1.163)</f>
        <v>0</v>
      </c>
      <c r="E36" s="41">
        <f>0.000115720760310885*D36^1.96267663452922</f>
        <v>0</v>
      </c>
      <c r="F36" s="29" t="b">
        <f>IF($B$22&lt;=$B$17,(F31-0)/($B$17-0)*$B$22,IF($B$22&lt;=$B$18,(F34-F31)/($B$18-$B$17)*($B$22-$B$17)+F31,IF($B$22&lt;=$B$21,(F35-F34)/($B$21-$B$18)*($B$22-$B$18)+F34)))</f>
        <v>0</v>
      </c>
      <c r="G36" s="29"/>
      <c r="H36" s="29">
        <f>F36/(($J$9-$J$8)*1.163)</f>
        <v>0</v>
      </c>
      <c r="I36" s="30">
        <f>0.000115720760310885*H36^1.96267663452922</f>
        <v>0</v>
      </c>
      <c r="J36" s="35" t="b">
        <f>IF($B$22&lt;=$B$17,(J31-0)/($B$17-0)*$B$22,IF($B$22&lt;=$B$18,(J34-J31)/($B$18-$B$17)*($B$22-$B$17)+J31,IF($B$22&lt;=$B$21,(J35-J34)/($B$21-$B$18)*($B$22-$B$18)+J34)))</f>
        <v>0</v>
      </c>
      <c r="K36" s="32" t="b">
        <f>IF($B$22&lt;=$B$17,(K31-0)/($B$17-0)*$B$22,IF($B$22&lt;=$B$18,(K34-K31)/($B$18-$B$17)*($B$22-$B$17)+K31,IF($B$22&lt;=$B$21,(K35-K34)/($B$21-$B$18)*($B$22-$B$18)+K34)))</f>
        <v>0</v>
      </c>
      <c r="L36" s="31" t="b">
        <f>IF($B$22&lt;=$B$17,(L31-0)/($B$17-0)*$B$22,IF($B$22&lt;=$B$18,(L34-L31)/($B$18-$B$17)*($B$22-$B$17)+L31,IF($B$22&lt;=$B$21,(L35-L34)/($B$21-$B$18)*($B$22-$B$18)+L34)))</f>
        <v>0</v>
      </c>
      <c r="M36" s="32" t="b">
        <f>IF($B$22&lt;=$B$17,(M31-0)/($B$17-0)*$B$22,IF($B$22&lt;=$B$18,(M34-M31)/($B$18-$B$17)*($B$22-$B$17)+M31,IF($B$22&lt;=$B$21,(M35-M34)/($B$21-$B$18)*($B$22-$B$18)+M34)))</f>
        <v>0</v>
      </c>
      <c r="P36" s="64"/>
    </row>
    <row r="37" spans="1:16" ht="16.899999999999999" customHeight="1" x14ac:dyDescent="0.25">
      <c r="A37" s="164" t="s">
        <v>105</v>
      </c>
      <c r="B37" s="165"/>
      <c r="C37" s="164"/>
      <c r="D37" s="166"/>
      <c r="E37" s="165"/>
      <c r="F37" s="165"/>
      <c r="G37" s="165"/>
      <c r="H37" s="165"/>
      <c r="I37" s="165"/>
      <c r="J37" s="164"/>
      <c r="K37" s="165"/>
      <c r="L37" s="165"/>
      <c r="M37" s="166"/>
      <c r="P37" s="64" t="s">
        <v>23</v>
      </c>
    </row>
    <row r="38" spans="1:16" x14ac:dyDescent="0.25">
      <c r="A38" s="45"/>
      <c r="B38" s="4"/>
      <c r="C38" s="34"/>
      <c r="D38" s="5"/>
      <c r="E38" s="42"/>
      <c r="F38" s="5"/>
      <c r="G38" s="5"/>
      <c r="H38" s="5"/>
      <c r="I38" s="6"/>
      <c r="J38" s="34"/>
      <c r="K38" s="61"/>
      <c r="L38" s="66"/>
      <c r="M38" s="46"/>
      <c r="P38" s="64">
        <v>0.6</v>
      </c>
    </row>
    <row r="39" spans="1:16" x14ac:dyDescent="0.25">
      <c r="A39" s="45"/>
      <c r="B39" s="4"/>
      <c r="C39" s="34"/>
      <c r="D39" s="5"/>
      <c r="E39" s="42"/>
      <c r="F39" s="5"/>
      <c r="G39" s="5"/>
      <c r="H39" s="5"/>
      <c r="I39" s="6"/>
      <c r="J39" s="34"/>
      <c r="K39" s="61"/>
      <c r="L39" s="66"/>
      <c r="M39" s="46"/>
      <c r="P39" s="64">
        <v>0.68</v>
      </c>
    </row>
    <row r="40" spans="1:16" x14ac:dyDescent="0.25">
      <c r="A40" s="45"/>
      <c r="B40" s="4"/>
      <c r="C40" s="34"/>
      <c r="D40" s="5"/>
      <c r="E40" s="42"/>
      <c r="F40" s="5"/>
      <c r="G40" s="5"/>
      <c r="H40" s="5"/>
      <c r="I40" s="6"/>
      <c r="J40" s="34"/>
      <c r="K40" s="61"/>
      <c r="L40" s="66"/>
      <c r="M40" s="46"/>
      <c r="P40" s="64">
        <v>0.79</v>
      </c>
    </row>
    <row r="41" spans="1:16" x14ac:dyDescent="0.25">
      <c r="A41" s="45"/>
      <c r="B41" s="4"/>
      <c r="C41" s="34"/>
      <c r="D41" s="5"/>
      <c r="E41" s="42"/>
      <c r="F41" s="5"/>
      <c r="G41" s="5"/>
      <c r="H41" s="5"/>
      <c r="I41" s="6"/>
      <c r="J41" s="34"/>
      <c r="K41" s="61"/>
      <c r="L41" s="66"/>
      <c r="M41" s="46"/>
      <c r="P41" s="64">
        <v>0.87</v>
      </c>
    </row>
    <row r="42" spans="1:16" x14ac:dyDescent="0.25">
      <c r="A42" s="54"/>
      <c r="B42" s="55"/>
      <c r="C42" s="56"/>
      <c r="D42" s="57"/>
      <c r="E42" s="58"/>
      <c r="F42" s="57"/>
      <c r="G42" s="57"/>
      <c r="H42" s="57"/>
      <c r="I42" s="59"/>
      <c r="J42" s="56"/>
      <c r="K42" s="62"/>
      <c r="L42" s="66"/>
      <c r="M42" s="60"/>
      <c r="P42" s="64">
        <v>0.91</v>
      </c>
    </row>
    <row r="43" spans="1:16" hidden="1" x14ac:dyDescent="0.25">
      <c r="A43" s="47" t="s">
        <v>14</v>
      </c>
      <c r="B43" s="48">
        <f>B22</f>
        <v>10</v>
      </c>
      <c r="C43" s="49" t="b">
        <f>IF($B$22&lt;=$B$17,(C38-0)/($B$17-0)*$B$22,IF($B$22&lt;=$B$18,(C41-C38)/($B$18-$B$17)*($B$22-$B$17)+C38,IF($B$22&lt;=$B$21,(C42-C41)/($B$21-$B$18)*($B$22-$B$18)+C41)))</f>
        <v>0</v>
      </c>
      <c r="D43" s="50">
        <f>C43/(($D$8-$D$9)*1.163)</f>
        <v>0</v>
      </c>
      <c r="E43" s="51">
        <f>0.000115720760310885*D43^1.96267663452922</f>
        <v>0</v>
      </c>
      <c r="F43" s="50" t="b">
        <f>IF($B$22&lt;=$B$17,(F38-0)/($B$17-0)*$B$22,IF($B$22&lt;=$B$18,(F41-F38)/($B$18-$B$17)*($B$22-$B$17)+F38,IF($B$22&lt;=$B$21,(F42-F41)/($B$21-$B$18)*($B$22-$B$18)+F41)))</f>
        <v>0</v>
      </c>
      <c r="G43" s="50"/>
      <c r="H43" s="50">
        <f>F43/(($J$9-$J$8)*1.163)</f>
        <v>0</v>
      </c>
      <c r="I43" s="52">
        <f>0.000115720760310885*H43^1.96267663452922</f>
        <v>0</v>
      </c>
      <c r="J43" s="49" t="b">
        <f>IF($B$22&lt;=$B$17,(J38-0)/($B$17-0)*$B$22,IF($B$22&lt;=$B$18,(J41-J38)/($B$18-$B$17)*($B$22-$B$17)+J38,IF($B$22&lt;=$B$21,(J42-J41)/($B$21-$B$18)*($B$22-$B$18)+J41)))</f>
        <v>0</v>
      </c>
      <c r="K43" s="53" t="b">
        <f>IF($B$22&lt;=$B$17,(K38-0)/($B$17-0)*$B$22,IF($B$22&lt;=$B$18,(K41-K38)/($B$18-$B$17)*($B$22-$B$17)+K38,IF($B$22&lt;=$B$21,(K42-K41)/($B$21-$B$18)*($B$22-$B$18)+K41)))</f>
        <v>0</v>
      </c>
      <c r="L43" s="67" t="b">
        <f>IF($B$22&lt;=$B$17,(L38-0)/($B$17-0)*$B$22,IF($B$22&lt;=$B$18,(L41-L38)/($B$18-$B$17)*($B$22-$B$17)+L38,IF($B$22&lt;=$B$21,(L42-L41)/($B$21-$B$18)*($B$22-$B$18)+L41)))</f>
        <v>0</v>
      </c>
      <c r="M43" s="53" t="b">
        <f>IF($B$22&lt;=$B$17,(M38-0)/($B$17-0)*$B$22,IF($B$22&lt;=$B$18,(M41-M38)/($B$18-$B$17)*($B$22-$B$17)+M38,IF($B$22&lt;=$B$21,(M42-M41)/($B$21-$B$18)*($B$22-$B$18)+M41)))</f>
        <v>0</v>
      </c>
    </row>
    <row r="44" spans="1:16" ht="9.4" customHeight="1" x14ac:dyDescent="0.25">
      <c r="A44" s="7" t="s">
        <v>83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68"/>
      <c r="M44" s="65" t="str">
        <f>'Quatro Canal'!M44</f>
        <v>v11-10-2017</v>
      </c>
    </row>
    <row r="45" spans="1:16" ht="9.4" customHeight="1" x14ac:dyDescent="0.25">
      <c r="A45" s="7" t="s">
        <v>19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6" ht="9.4" customHeight="1" x14ac:dyDescent="0.25">
      <c r="A46" s="7" t="s">
        <v>20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6" s="3" customFormat="1" ht="16.149999999999999" hidden="1" customHeight="1" x14ac:dyDescent="0.25"/>
    <row r="48" spans="1:16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</sheetData>
  <sheetProtection algorithmName="SHA-512" hashValue="DuWKbsNPb4cqXDNKZ7Dj+Iv8jiczFBRX9nWRSJpWwS5Qa3fMfWPyRHPal4/df4LMLADRKPDFSEIl0hnynPR9FQ==" saltValue="Ww8/30NGbfh8JwMfKNVqXQ==" spinCount="100000" sheet="1" selectLockedCells="1"/>
  <mergeCells count="11">
    <mergeCell ref="A12:D12"/>
    <mergeCell ref="A16:M16"/>
    <mergeCell ref="A23:M23"/>
    <mergeCell ref="A30:M30"/>
    <mergeCell ref="A37:M37"/>
    <mergeCell ref="A8:C8"/>
    <mergeCell ref="F8:I8"/>
    <mergeCell ref="A9:C9"/>
    <mergeCell ref="F9:I9"/>
    <mergeCell ref="A10:C10"/>
    <mergeCell ref="F10:I10"/>
  </mergeCells>
  <dataValidations count="8">
    <dataValidation type="decimal" errorStyle="information" allowBlank="1" showErrorMessage="1" error="Eingabe außerhalb des gültigen Bereichs." prompt="20°C bis 35°C" sqref="J11" xr:uid="{00000000-0002-0000-0300-000000000000}">
      <formula1>0.01</formula1>
      <formula2>1</formula2>
    </dataValidation>
    <dataValidation type="whole" errorStyle="information" allowBlank="1" showErrorMessage="1" error="Eingabe außerhalb des gültigen Bereichs." prompt="Eingabe zwischen 5°C bis 20°C" sqref="J8" xr:uid="{00000000-0002-0000-0300-000001000000}">
      <formula1>5</formula1>
      <formula2>20</formula2>
    </dataValidation>
    <dataValidation type="whole" errorStyle="information" allowBlank="1" showErrorMessage="1" error="Eingabe außerhalb des gültigen Bereichs." prompt="Eingabe zwischen Vorlauftemp. und Raumtemp." sqref="J9" xr:uid="{00000000-0002-0000-0300-000002000000}">
      <formula1>J8</formula1>
      <formula2>J10</formula2>
    </dataValidation>
    <dataValidation type="whole" errorStyle="information" allowBlank="1" showErrorMessage="1" error="Temperatur außerhalb des gütligen Bereichs." prompt="Eingabe zwischen 30°C bis 95°C" sqref="D8" xr:uid="{00000000-0002-0000-03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D9" xr:uid="{00000000-0002-0000-0300-000004000000}">
      <formula1>D10</formula1>
      <formula2>D8</formula2>
    </dataValidation>
    <dataValidation type="whole" errorStyle="information" allowBlank="1" showErrorMessage="1" error="Eingabe außerhalb des gültigen Bereichs." prompt="Eingabe zwischen 16°C bis 30°C" sqref="D10" xr:uid="{00000000-0002-0000-0300-000005000000}">
      <formula1>16</formula1>
      <formula2>30</formula2>
    </dataValidation>
    <dataValidation type="whole" errorStyle="information" allowBlank="1" showErrorMessage="1" error="Eingabe außerhalb des gültigen Bereichs." prompt="20°C bis 35°C" sqref="J10" xr:uid="{00000000-0002-0000-0300-000006000000}">
      <formula1>20</formula1>
      <formula2>35</formula2>
    </dataValidation>
    <dataValidation type="whole" errorStyle="information" allowBlank="1" showErrorMessage="1" error="Eingabe außerhalb des gültigen Bereichs." prompt="Eingabe zwischen 0% und 100%" sqref="E12" xr:uid="{00000000-0002-0000-0300-000007000000}">
      <formula1>0</formula1>
      <formula2>100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4"/>
  <sheetViews>
    <sheetView workbookViewId="0">
      <selection activeCell="M45" sqref="M45"/>
    </sheetView>
  </sheetViews>
  <sheetFormatPr defaultColWidth="0" defaultRowHeight="15" zeroHeight="1" x14ac:dyDescent="0.25"/>
  <cols>
    <col min="1" max="1" width="7" style="1" customWidth="1"/>
    <col min="2" max="2" width="6.140625" style="1" customWidth="1"/>
    <col min="3" max="3" width="7" style="1" customWidth="1"/>
    <col min="4" max="4" width="6.7109375" style="1" customWidth="1"/>
    <col min="5" max="13" width="7" style="1" customWidth="1"/>
    <col min="14" max="14" width="2.140625" style="1" customWidth="1"/>
    <col min="15" max="16384" width="11.42578125" style="1" hidden="1"/>
  </cols>
  <sheetData>
    <row r="1" spans="1:16" s="3" customFormat="1" x14ac:dyDescent="0.25">
      <c r="A1" s="22"/>
    </row>
    <row r="2" spans="1:16" s="3" customFormat="1" x14ac:dyDescent="0.25">
      <c r="A2" s="24" t="s">
        <v>69</v>
      </c>
      <c r="B2" s="23"/>
    </row>
    <row r="3" spans="1:16" s="3" customFormat="1" x14ac:dyDescent="0.25">
      <c r="A3" s="22"/>
    </row>
    <row r="4" spans="1:16" s="3" customFormat="1" x14ac:dyDescent="0.25">
      <c r="A4" s="36" t="s">
        <v>57</v>
      </c>
    </row>
    <row r="5" spans="1:16" s="3" customFormat="1" ht="6" customHeight="1" x14ac:dyDescent="0.2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</row>
    <row r="6" spans="1:16" x14ac:dyDescent="0.25">
      <c r="A6" s="13" t="s">
        <v>88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14"/>
    </row>
    <row r="7" spans="1:16" x14ac:dyDescent="0.25">
      <c r="A7" s="13" t="s">
        <v>89</v>
      </c>
      <c r="B7" s="8"/>
      <c r="C7" s="8"/>
      <c r="D7" s="8"/>
      <c r="E7" s="8"/>
      <c r="F7" s="9" t="s">
        <v>71</v>
      </c>
      <c r="G7" s="9"/>
      <c r="H7" s="9"/>
      <c r="I7" s="8"/>
      <c r="J7" s="8"/>
      <c r="K7" s="8"/>
      <c r="L7" s="37"/>
      <c r="M7" s="14"/>
    </row>
    <row r="8" spans="1:16" x14ac:dyDescent="0.25">
      <c r="A8" s="160" t="s">
        <v>90</v>
      </c>
      <c r="B8" s="161"/>
      <c r="C8" s="161"/>
      <c r="D8" s="86">
        <f>'Quatro Canal'!D8</f>
        <v>60</v>
      </c>
      <c r="E8" s="69"/>
      <c r="F8" s="161" t="s">
        <v>90</v>
      </c>
      <c r="G8" s="161"/>
      <c r="H8" s="161"/>
      <c r="I8" s="161"/>
      <c r="J8" s="86">
        <f>'Quatro Canal'!J8</f>
        <v>8</v>
      </c>
      <c r="K8" s="8"/>
      <c r="L8" s="8"/>
      <c r="M8" s="14"/>
    </row>
    <row r="9" spans="1:16" x14ac:dyDescent="0.25">
      <c r="A9" s="160" t="s">
        <v>58</v>
      </c>
      <c r="B9" s="161"/>
      <c r="C9" s="161"/>
      <c r="D9" s="86">
        <f>'Quatro Canal'!D9</f>
        <v>45</v>
      </c>
      <c r="E9" s="69"/>
      <c r="F9" s="161" t="s">
        <v>58</v>
      </c>
      <c r="G9" s="161"/>
      <c r="H9" s="161"/>
      <c r="I9" s="161"/>
      <c r="J9" s="86">
        <f>'Quatro Canal'!J9</f>
        <v>14</v>
      </c>
      <c r="K9" s="8"/>
      <c r="L9" s="8"/>
      <c r="M9" s="14"/>
    </row>
    <row r="10" spans="1:16" x14ac:dyDescent="0.25">
      <c r="A10" s="160" t="s">
        <v>87</v>
      </c>
      <c r="B10" s="161"/>
      <c r="C10" s="161"/>
      <c r="D10" s="86">
        <f>'Quatro Canal'!D10</f>
        <v>20</v>
      </c>
      <c r="E10" s="69"/>
      <c r="F10" s="161" t="s">
        <v>87</v>
      </c>
      <c r="G10" s="161"/>
      <c r="H10" s="161"/>
      <c r="I10" s="161"/>
      <c r="J10" s="86">
        <f>'Quatro Canal'!J10</f>
        <v>26</v>
      </c>
      <c r="K10" s="8"/>
      <c r="L10" s="8"/>
      <c r="M10" s="14"/>
    </row>
    <row r="11" spans="1:16" x14ac:dyDescent="0.25">
      <c r="A11" s="15"/>
      <c r="B11" s="8"/>
      <c r="C11" s="8"/>
      <c r="D11" s="8"/>
      <c r="E11" s="8"/>
      <c r="F11" s="8" t="s">
        <v>91</v>
      </c>
      <c r="G11" s="8"/>
      <c r="H11" s="8"/>
      <c r="I11" s="8"/>
      <c r="J11" s="89">
        <f>'Quatro Canal'!J11</f>
        <v>0.5</v>
      </c>
      <c r="K11" s="8"/>
      <c r="L11" s="8"/>
      <c r="M11" s="14"/>
    </row>
    <row r="12" spans="1:16" ht="13.9" hidden="1" customHeight="1" x14ac:dyDescent="0.25">
      <c r="A12" s="162" t="s">
        <v>12</v>
      </c>
      <c r="B12" s="163"/>
      <c r="C12" s="163"/>
      <c r="D12" s="163"/>
      <c r="E12" s="39">
        <v>100</v>
      </c>
      <c r="F12" s="8" t="s">
        <v>13</v>
      </c>
      <c r="G12" s="8"/>
      <c r="H12" s="8"/>
      <c r="I12" s="8" t="s">
        <v>18</v>
      </c>
      <c r="J12" s="8" t="s">
        <v>17</v>
      </c>
      <c r="K12" s="8"/>
      <c r="L12" s="8"/>
      <c r="M12" s="14"/>
    </row>
    <row r="13" spans="1:16" ht="6" customHeight="1" x14ac:dyDescent="0.25">
      <c r="A13" s="16"/>
      <c r="B13" s="17"/>
      <c r="C13" s="17"/>
      <c r="D13" s="17"/>
      <c r="E13" s="18"/>
      <c r="F13" s="18"/>
      <c r="G13" s="18"/>
      <c r="H13" s="18"/>
      <c r="I13" s="18"/>
      <c r="J13" s="18"/>
      <c r="K13" s="18"/>
      <c r="L13" s="18"/>
      <c r="M13" s="19"/>
    </row>
    <row r="14" spans="1:16" x14ac:dyDescent="0.2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</row>
    <row r="15" spans="1:16" s="2" customFormat="1" ht="95.45" customHeight="1" x14ac:dyDescent="0.25">
      <c r="A15" s="27" t="s">
        <v>59</v>
      </c>
      <c r="B15" s="20" t="s">
        <v>70</v>
      </c>
      <c r="C15" s="27" t="str">
        <f>CONCATENATE("Puissance de cha. * ",D8,"/",D9,"/",D10," [W]")</f>
        <v>Puissance de cha. * 60/45/20 [W]</v>
      </c>
      <c r="D15" s="40" t="s">
        <v>92</v>
      </c>
      <c r="E15" s="44" t="s">
        <v>77</v>
      </c>
      <c r="F15" s="20" t="str">
        <f>CONCATENATE("Puissance sens. de refr. * ",J8,"/",J9,"/",J10," [W]")</f>
        <v>Puissance sens. de refr. * 8/14/26 [W]</v>
      </c>
      <c r="G15" s="20" t="str">
        <f>CONCATENATE("Puissance tot. de refr. ",J8,"/",J9,"/",J10," [W]")</f>
        <v>Puissance tot. de refr. 8/14/26 [W]</v>
      </c>
      <c r="H15" s="20" t="s">
        <v>75</v>
      </c>
      <c r="I15" s="21" t="s">
        <v>77</v>
      </c>
      <c r="J15" s="27" t="s">
        <v>72</v>
      </c>
      <c r="K15" s="43" t="s">
        <v>76</v>
      </c>
      <c r="L15" s="20" t="s">
        <v>73</v>
      </c>
      <c r="M15" s="26" t="s">
        <v>74</v>
      </c>
    </row>
    <row r="16" spans="1:16" ht="18" customHeight="1" x14ac:dyDescent="0.25">
      <c r="A16" s="164" t="s">
        <v>101</v>
      </c>
      <c r="B16" s="165"/>
      <c r="C16" s="164"/>
      <c r="D16" s="166"/>
      <c r="E16" s="165"/>
      <c r="F16" s="165"/>
      <c r="G16" s="165"/>
      <c r="H16" s="165"/>
      <c r="I16" s="165"/>
      <c r="J16" s="164"/>
      <c r="K16" s="165"/>
      <c r="L16" s="165"/>
      <c r="M16" s="166"/>
      <c r="P16" s="64" t="s">
        <v>23</v>
      </c>
    </row>
    <row r="17" spans="1:16" x14ac:dyDescent="0.25">
      <c r="A17" s="45"/>
      <c r="B17" s="4"/>
      <c r="C17" s="34"/>
      <c r="D17" s="5"/>
      <c r="E17" s="42"/>
      <c r="F17" s="5"/>
      <c r="G17" s="5"/>
      <c r="H17" s="5"/>
      <c r="I17" s="6"/>
      <c r="J17" s="34"/>
      <c r="K17" s="61"/>
      <c r="L17" s="66"/>
      <c r="M17" s="46"/>
      <c r="P17" s="64">
        <v>0.6</v>
      </c>
    </row>
    <row r="18" spans="1:16" x14ac:dyDescent="0.25">
      <c r="A18" s="45"/>
      <c r="B18" s="4"/>
      <c r="C18" s="34"/>
      <c r="D18" s="5"/>
      <c r="E18" s="42"/>
      <c r="F18" s="5"/>
      <c r="G18" s="5"/>
      <c r="H18" s="5"/>
      <c r="I18" s="6"/>
      <c r="J18" s="34"/>
      <c r="K18" s="61"/>
      <c r="L18" s="66"/>
      <c r="M18" s="46"/>
      <c r="P18" s="64">
        <v>0.68</v>
      </c>
    </row>
    <row r="19" spans="1:16" x14ac:dyDescent="0.25">
      <c r="A19" s="45"/>
      <c r="B19" s="4"/>
      <c r="C19" s="34"/>
      <c r="D19" s="5"/>
      <c r="E19" s="42"/>
      <c r="F19" s="5"/>
      <c r="G19" s="5"/>
      <c r="H19" s="5"/>
      <c r="I19" s="6"/>
      <c r="J19" s="34"/>
      <c r="K19" s="61"/>
      <c r="L19" s="66"/>
      <c r="M19" s="46"/>
      <c r="P19" s="64">
        <v>0.79</v>
      </c>
    </row>
    <row r="20" spans="1:16" x14ac:dyDescent="0.25">
      <c r="A20" s="45"/>
      <c r="B20" s="4"/>
      <c r="C20" s="34"/>
      <c r="D20" s="5"/>
      <c r="E20" s="42"/>
      <c r="F20" s="5"/>
      <c r="G20" s="5"/>
      <c r="H20" s="5"/>
      <c r="I20" s="6"/>
      <c r="J20" s="34"/>
      <c r="K20" s="61"/>
      <c r="L20" s="66"/>
      <c r="M20" s="46"/>
      <c r="P20" s="64">
        <v>0.87</v>
      </c>
    </row>
    <row r="21" spans="1:16" x14ac:dyDescent="0.25">
      <c r="A21" s="45"/>
      <c r="B21" s="4"/>
      <c r="C21" s="34"/>
      <c r="D21" s="5"/>
      <c r="E21" s="42"/>
      <c r="F21" s="5"/>
      <c r="G21" s="5"/>
      <c r="H21" s="5"/>
      <c r="I21" s="6"/>
      <c r="J21" s="34"/>
      <c r="K21" s="61"/>
      <c r="L21" s="66"/>
      <c r="M21" s="46"/>
      <c r="P21" s="64">
        <v>0.91</v>
      </c>
    </row>
    <row r="22" spans="1:16" hidden="1" x14ac:dyDescent="0.25">
      <c r="A22" s="28" t="s">
        <v>14</v>
      </c>
      <c r="B22" s="33">
        <f>E12/10</f>
        <v>10</v>
      </c>
      <c r="C22" s="35" t="b">
        <f>IF($B$22&lt;=$B$17,(C17-0)/($B$17-0)*$B$22,IF($B$22&lt;=$B$18,(C18-C17)/($B$18-$B$17)*($B$22-$B$17)+C17,IF($B$22&lt;=$B$21,(C21-C18)/($B$21-$B$18)*($B$22-$B$18)+C18)))</f>
        <v>0</v>
      </c>
      <c r="D22" s="29">
        <f>C22/(($D$8-$D$9)*1.163)</f>
        <v>0</v>
      </c>
      <c r="E22" s="41">
        <f>0.000115720760310885*D22^1.96267663452922</f>
        <v>0</v>
      </c>
      <c r="F22" s="29" t="b">
        <f>IF($B$22&lt;=$B$17,(F17-0)/($B$17-0)*$B$22,IF($B$22&lt;=$B$18,(F18-F17)/($B$18-$B$17)*($B$22-$B$17)+F17,IF($B$22&lt;=$B$21,(F21-F18)/($B$21-$B$18)*($B$22-$B$18)+F18)))</f>
        <v>0</v>
      </c>
      <c r="G22" s="5">
        <f t="shared" ref="G22" si="0">$F22/(IF((237.3*LN(($J$11*EXP(17.27*($J$10/($J$10+237.3))))))/(17.27-LN(($J$11*EXP(17.27*($J$10/($J$10+237.3))))))&lt;($J$8+$J$9)/2,1,1/(1+((2258*((0.622/((101325/(1*611*EXP(17.27*(($J$8+$J$9)/2/(($J$8+$J$9)/2+237.3))))))-1)*1000-(0.622/((101325/($J$11*611*EXP(17.27*($J$10/($J$10+237.3))))))-1)*1000))/(1005*(($J$8+$J$9)/2-$J$10))))-((-0.000625*$B22+0.00625)*($J$10-($J$8+$J$9)/2)-(-0.000625*$B22+0.00625)*10)))</f>
        <v>0</v>
      </c>
      <c r="H22" s="29">
        <f>F22/(($J$9-$J$8)*1.163)</f>
        <v>0</v>
      </c>
      <c r="I22" s="30">
        <f>0.000115720760310885*H22^1.96267663452922</f>
        <v>0</v>
      </c>
      <c r="J22" s="35" t="b">
        <f>IF($B$22&lt;=$B$17,(J17-0)/($B$17-0)*$B$22,IF($B$22&lt;=$B$18,(J18-J17)/($B$18-$B$17)*($B$22-$B$17)+J17,IF($B$22&lt;=$B$21,(J21-J18)/($B$21-$B$18)*($B$22-$B$18)+J18)))</f>
        <v>0</v>
      </c>
      <c r="K22" s="32" t="b">
        <f>IF($B$22&lt;=$B$17,(K17-0)/($B$17-0)*$B$22,IF($B$22&lt;=$B$18,(K18-K17)/($B$18-$B$17)*($B$22-$B$17)+K17,IF($B$22&lt;=$B$21,(K21-K18)/($B$21-$B$18)*($B$22-$B$18)+K18)))</f>
        <v>0</v>
      </c>
      <c r="L22" s="31" t="b">
        <f>IF($B$22&lt;=$B$17,(L17-0)/($B$17-0)*$B$22,IF($B$22&lt;=$B$18,(L18-L17)/($B$18-$B$17)*($B$22-$B$17)+L17,IF($B$22&lt;=$B$21,(L21-L18)/($B$21-$B$18)*($B$22-$B$18)+L18)))</f>
        <v>0</v>
      </c>
      <c r="M22" s="32" t="b">
        <f>IF($B$22&lt;=$B$17,(M17-0)/($B$17-0)*$B$22,IF($B$22&lt;=$B$18,(M18-M17)/($B$18-$B$17)*($B$22-$B$17)+M17,IF($B$22&lt;=$B$21,(M21-M18)/($B$21-$B$18)*($B$22-$B$18)+M18)))</f>
        <v>0</v>
      </c>
      <c r="P22" s="64"/>
    </row>
    <row r="23" spans="1:16" ht="16.899999999999999" customHeight="1" x14ac:dyDescent="0.25">
      <c r="A23" s="164" t="s">
        <v>106</v>
      </c>
      <c r="B23" s="165"/>
      <c r="C23" s="164"/>
      <c r="D23" s="166"/>
      <c r="E23" s="165"/>
      <c r="F23" s="165"/>
      <c r="G23" s="165"/>
      <c r="H23" s="165"/>
      <c r="I23" s="165"/>
      <c r="J23" s="164"/>
      <c r="K23" s="165"/>
      <c r="L23" s="165"/>
      <c r="M23" s="166"/>
      <c r="P23" s="64" t="s">
        <v>23</v>
      </c>
    </row>
    <row r="24" spans="1:16" x14ac:dyDescent="0.25">
      <c r="A24" s="45"/>
      <c r="B24" s="4"/>
      <c r="C24" s="34"/>
      <c r="D24" s="5"/>
      <c r="E24" s="42"/>
      <c r="F24" s="5"/>
      <c r="G24" s="5"/>
      <c r="H24" s="5"/>
      <c r="I24" s="6"/>
      <c r="J24" s="34"/>
      <c r="K24" s="61"/>
      <c r="L24" s="66"/>
      <c r="M24" s="46"/>
      <c r="P24" s="64">
        <v>0.6</v>
      </c>
    </row>
    <row r="25" spans="1:16" x14ac:dyDescent="0.25">
      <c r="A25" s="45"/>
      <c r="B25" s="4"/>
      <c r="C25" s="34"/>
      <c r="D25" s="5"/>
      <c r="E25" s="42"/>
      <c r="F25" s="5"/>
      <c r="G25" s="5"/>
      <c r="H25" s="5"/>
      <c r="I25" s="6"/>
      <c r="J25" s="34"/>
      <c r="K25" s="61"/>
      <c r="L25" s="66"/>
      <c r="M25" s="46"/>
      <c r="P25" s="64">
        <v>0.68</v>
      </c>
    </row>
    <row r="26" spans="1:16" x14ac:dyDescent="0.25">
      <c r="A26" s="45"/>
      <c r="B26" s="4"/>
      <c r="C26" s="34"/>
      <c r="D26" s="5"/>
      <c r="E26" s="42"/>
      <c r="F26" s="5"/>
      <c r="G26" s="5"/>
      <c r="H26" s="5"/>
      <c r="I26" s="6"/>
      <c r="J26" s="34"/>
      <c r="K26" s="61"/>
      <c r="L26" s="66"/>
      <c r="M26" s="46"/>
      <c r="P26" s="64">
        <v>0.79</v>
      </c>
    </row>
    <row r="27" spans="1:16" x14ac:dyDescent="0.25">
      <c r="A27" s="45"/>
      <c r="B27" s="4"/>
      <c r="C27" s="34"/>
      <c r="D27" s="5"/>
      <c r="E27" s="42"/>
      <c r="F27" s="5"/>
      <c r="G27" s="5"/>
      <c r="H27" s="5"/>
      <c r="I27" s="6"/>
      <c r="J27" s="34"/>
      <c r="K27" s="61"/>
      <c r="L27" s="66"/>
      <c r="M27" s="46"/>
      <c r="P27" s="64">
        <v>0.87</v>
      </c>
    </row>
    <row r="28" spans="1:16" x14ac:dyDescent="0.25">
      <c r="A28" s="45"/>
      <c r="B28" s="4"/>
      <c r="C28" s="34"/>
      <c r="D28" s="5"/>
      <c r="E28" s="42"/>
      <c r="F28" s="5"/>
      <c r="G28" s="5"/>
      <c r="H28" s="5"/>
      <c r="I28" s="6"/>
      <c r="J28" s="34"/>
      <c r="K28" s="61"/>
      <c r="L28" s="66"/>
      <c r="M28" s="46"/>
      <c r="P28" s="64">
        <v>0.91</v>
      </c>
    </row>
    <row r="29" spans="1:16" hidden="1" x14ac:dyDescent="0.25">
      <c r="A29" s="28" t="s">
        <v>14</v>
      </c>
      <c r="B29" s="33">
        <f>B22</f>
        <v>10</v>
      </c>
      <c r="C29" s="35" t="b">
        <f>IF($B$22&lt;=$B$17,(C24-0)/($B$17-0)*$B$22,IF($B$22&lt;=$B$18,(C25-C24)/($B$18-$B$17)*($B$22-$B$17)+C24,IF($B$22&lt;=$B$21,(C28-C25)/($B$21-$B$18)*($B$22-$B$18)+C25)))</f>
        <v>0</v>
      </c>
      <c r="D29" s="29">
        <f>C29/(($D$8-$D$9)*1.163)</f>
        <v>0</v>
      </c>
      <c r="E29" s="41">
        <f>0.000115720760310885*D29^1.96267663452922</f>
        <v>0</v>
      </c>
      <c r="F29" s="29" t="b">
        <f>IF($B$22&lt;=$B$17,(F24-0)/($B$17-0)*$B$22,IF($B$22&lt;=$B$18,(F25-F24)/($B$18-$B$17)*($B$22-$B$17)+F24,IF($B$22&lt;=$B$21,(F28-F25)/($B$21-$B$18)*($B$22-$B$18)+F25)))</f>
        <v>0</v>
      </c>
      <c r="G29" s="29"/>
      <c r="H29" s="29">
        <f>F29/(($J$9-$J$8)*1.163)</f>
        <v>0</v>
      </c>
      <c r="I29" s="30">
        <f>0.000115720760310885*H29^1.96267663452922</f>
        <v>0</v>
      </c>
      <c r="J29" s="35" t="b">
        <f>IF($B$22&lt;=$B$17,(J24-0)/($B$17-0)*$B$22,IF($B$22&lt;=$B$18,(J25-J24)/($B$18-$B$17)*($B$22-$B$17)+J24,IF($B$22&lt;=$B$21,(J28-J25)/($B$21-$B$18)*($B$22-$B$18)+J25)))</f>
        <v>0</v>
      </c>
      <c r="K29" s="32" t="b">
        <f>IF($B$22&lt;=$B$17,(K24-0)/($B$17-0)*$B$22,IF($B$22&lt;=$B$18,(K25-K24)/($B$18-$B$17)*($B$22-$B$17)+K24,IF($B$22&lt;=$B$21,(K28-K25)/($B$21-$B$18)*($B$22-$B$18)+K25)))</f>
        <v>0</v>
      </c>
      <c r="L29" s="31" t="b">
        <f>IF($B$22&lt;=$B$17,(L24-0)/($B$17-0)*$B$22,IF($B$22&lt;=$B$18,(L25-L24)/($B$18-$B$17)*($B$22-$B$17)+L24,IF($B$22&lt;=$B$21,(L28-L25)/($B$21-$B$18)*($B$22-$B$18)+L25)))</f>
        <v>0</v>
      </c>
      <c r="M29" s="32" t="b">
        <f>IF($B$22&lt;=$B$17,(M24-0)/($B$17-0)*$B$22,IF($B$22&lt;=$B$18,(M25-M24)/($B$18-$B$17)*($B$22-$B$17)+M24,IF($B$22&lt;=$B$21,(M28-M25)/($B$21-$B$18)*($B$22-$B$18)+M25)))</f>
        <v>0</v>
      </c>
      <c r="P29" s="64"/>
    </row>
    <row r="30" spans="1:16" ht="18" customHeight="1" x14ac:dyDescent="0.25">
      <c r="A30" s="164" t="s">
        <v>107</v>
      </c>
      <c r="B30" s="165"/>
      <c r="C30" s="164"/>
      <c r="D30" s="166"/>
      <c r="E30" s="165"/>
      <c r="F30" s="165"/>
      <c r="G30" s="165"/>
      <c r="H30" s="165"/>
      <c r="I30" s="165"/>
      <c r="J30" s="164"/>
      <c r="K30" s="165"/>
      <c r="L30" s="165"/>
      <c r="M30" s="166"/>
      <c r="P30" s="64" t="s">
        <v>23</v>
      </c>
    </row>
    <row r="31" spans="1:16" x14ac:dyDescent="0.25">
      <c r="A31" s="45"/>
      <c r="B31" s="4"/>
      <c r="C31" s="34"/>
      <c r="D31" s="5"/>
      <c r="E31" s="42"/>
      <c r="F31" s="5"/>
      <c r="G31" s="5"/>
      <c r="H31" s="5"/>
      <c r="I31" s="6"/>
      <c r="J31" s="34"/>
      <c r="K31" s="61"/>
      <c r="L31" s="66"/>
      <c r="M31" s="46"/>
      <c r="P31" s="64">
        <v>0.6</v>
      </c>
    </row>
    <row r="32" spans="1:16" x14ac:dyDescent="0.25">
      <c r="A32" s="45"/>
      <c r="B32" s="4"/>
      <c r="C32" s="34"/>
      <c r="D32" s="5"/>
      <c r="E32" s="42"/>
      <c r="F32" s="5"/>
      <c r="G32" s="5"/>
      <c r="H32" s="5"/>
      <c r="I32" s="6"/>
      <c r="J32" s="34"/>
      <c r="K32" s="61"/>
      <c r="L32" s="66"/>
      <c r="M32" s="46"/>
      <c r="P32" s="64">
        <v>0.68</v>
      </c>
    </row>
    <row r="33" spans="1:16" x14ac:dyDescent="0.25">
      <c r="A33" s="45"/>
      <c r="B33" s="4"/>
      <c r="C33" s="34"/>
      <c r="D33" s="5"/>
      <c r="E33" s="42"/>
      <c r="F33" s="5"/>
      <c r="G33" s="5"/>
      <c r="H33" s="5"/>
      <c r="I33" s="6"/>
      <c r="J33" s="34"/>
      <c r="K33" s="61"/>
      <c r="L33" s="66"/>
      <c r="M33" s="46"/>
      <c r="P33" s="64">
        <v>0.79</v>
      </c>
    </row>
    <row r="34" spans="1:16" x14ac:dyDescent="0.25">
      <c r="A34" s="45"/>
      <c r="B34" s="4"/>
      <c r="C34" s="34"/>
      <c r="D34" s="5"/>
      <c r="E34" s="42"/>
      <c r="F34" s="5"/>
      <c r="G34" s="5"/>
      <c r="H34" s="5"/>
      <c r="I34" s="6"/>
      <c r="J34" s="34"/>
      <c r="K34" s="61"/>
      <c r="L34" s="66"/>
      <c r="M34" s="46"/>
      <c r="P34" s="64">
        <v>0.87</v>
      </c>
    </row>
    <row r="35" spans="1:16" x14ac:dyDescent="0.25">
      <c r="A35" s="45"/>
      <c r="B35" s="4"/>
      <c r="C35" s="34"/>
      <c r="D35" s="5"/>
      <c r="E35" s="42"/>
      <c r="F35" s="5"/>
      <c r="G35" s="5"/>
      <c r="H35" s="5"/>
      <c r="I35" s="6"/>
      <c r="J35" s="34"/>
      <c r="K35" s="61"/>
      <c r="L35" s="66"/>
      <c r="M35" s="46"/>
      <c r="P35" s="64">
        <v>0.91</v>
      </c>
    </row>
    <row r="36" spans="1:16" hidden="1" x14ac:dyDescent="0.25">
      <c r="A36" s="28" t="s">
        <v>14</v>
      </c>
      <c r="B36" s="33">
        <f>B22</f>
        <v>10</v>
      </c>
      <c r="C36" s="35" t="b">
        <f>IF($B$22&lt;=$B$17,(C31-0)/($B$17-0)*$B$22,IF($B$22&lt;=$B$18,(C34-C31)/($B$18-$B$17)*($B$22-$B$17)+C31,IF($B$22&lt;=$B$21,(C35-C34)/($B$21-$B$18)*($B$22-$B$18)+C34)))</f>
        <v>0</v>
      </c>
      <c r="D36" s="29">
        <f>C36/(($D$8-$D$9)*1.163)</f>
        <v>0</v>
      </c>
      <c r="E36" s="41">
        <f>0.000115720760310885*D36^1.96267663452922</f>
        <v>0</v>
      </c>
      <c r="F36" s="29" t="b">
        <f>IF($B$22&lt;=$B$17,(F31-0)/($B$17-0)*$B$22,IF($B$22&lt;=$B$18,(F34-F31)/($B$18-$B$17)*($B$22-$B$17)+F31,IF($B$22&lt;=$B$21,(F35-F34)/($B$21-$B$18)*($B$22-$B$18)+F34)))</f>
        <v>0</v>
      </c>
      <c r="G36" s="29"/>
      <c r="H36" s="29">
        <f>F36/(($J$9-$J$8)*1.163)</f>
        <v>0</v>
      </c>
      <c r="I36" s="30">
        <f>0.000115720760310885*H36^1.96267663452922</f>
        <v>0</v>
      </c>
      <c r="J36" s="35" t="b">
        <f>IF($B$22&lt;=$B$17,(J31-0)/($B$17-0)*$B$22,IF($B$22&lt;=$B$18,(J34-J31)/($B$18-$B$17)*($B$22-$B$17)+J31,IF($B$22&lt;=$B$21,(J35-J34)/($B$21-$B$18)*($B$22-$B$18)+J34)))</f>
        <v>0</v>
      </c>
      <c r="K36" s="32" t="b">
        <f>IF($B$22&lt;=$B$17,(K31-0)/($B$17-0)*$B$22,IF($B$22&lt;=$B$18,(K34-K31)/($B$18-$B$17)*($B$22-$B$17)+K31,IF($B$22&lt;=$B$21,(K35-K34)/($B$21-$B$18)*($B$22-$B$18)+K34)))</f>
        <v>0</v>
      </c>
      <c r="L36" s="31" t="b">
        <f>IF($B$22&lt;=$B$17,(L31-0)/($B$17-0)*$B$22,IF($B$22&lt;=$B$18,(L34-L31)/($B$18-$B$17)*($B$22-$B$17)+L31,IF($B$22&lt;=$B$21,(L35-L34)/($B$21-$B$18)*($B$22-$B$18)+L34)))</f>
        <v>0</v>
      </c>
      <c r="M36" s="32" t="b">
        <f>IF($B$22&lt;=$B$17,(M31-0)/($B$17-0)*$B$22,IF($B$22&lt;=$B$18,(M34-M31)/($B$18-$B$17)*($B$22-$B$17)+M31,IF($B$22&lt;=$B$21,(M35-M34)/($B$21-$B$18)*($B$22-$B$18)+M34)))</f>
        <v>0</v>
      </c>
      <c r="P36" s="64"/>
    </row>
    <row r="37" spans="1:16" ht="16.899999999999999" customHeight="1" x14ac:dyDescent="0.25">
      <c r="A37" s="164" t="s">
        <v>108</v>
      </c>
      <c r="B37" s="165"/>
      <c r="C37" s="164"/>
      <c r="D37" s="166"/>
      <c r="E37" s="165"/>
      <c r="F37" s="165"/>
      <c r="G37" s="165"/>
      <c r="H37" s="165"/>
      <c r="I37" s="165"/>
      <c r="J37" s="164"/>
      <c r="K37" s="165"/>
      <c r="L37" s="165"/>
      <c r="M37" s="166"/>
      <c r="P37" s="64" t="s">
        <v>23</v>
      </c>
    </row>
    <row r="38" spans="1:16" x14ac:dyDescent="0.25">
      <c r="A38" s="45"/>
      <c r="B38" s="4"/>
      <c r="C38" s="34"/>
      <c r="D38" s="5"/>
      <c r="E38" s="42"/>
      <c r="F38" s="5"/>
      <c r="G38" s="5"/>
      <c r="H38" s="5"/>
      <c r="I38" s="6"/>
      <c r="J38" s="34"/>
      <c r="K38" s="61"/>
      <c r="L38" s="66"/>
      <c r="M38" s="46"/>
      <c r="P38" s="64">
        <v>0.6</v>
      </c>
    </row>
    <row r="39" spans="1:16" x14ac:dyDescent="0.25">
      <c r="A39" s="45"/>
      <c r="B39" s="4"/>
      <c r="C39" s="34"/>
      <c r="D39" s="5"/>
      <c r="E39" s="42"/>
      <c r="F39" s="5"/>
      <c r="G39" s="5"/>
      <c r="H39" s="5"/>
      <c r="I39" s="6"/>
      <c r="J39" s="34"/>
      <c r="K39" s="61"/>
      <c r="L39" s="66"/>
      <c r="M39" s="46"/>
      <c r="P39" s="64">
        <v>0.68</v>
      </c>
    </row>
    <row r="40" spans="1:16" x14ac:dyDescent="0.25">
      <c r="A40" s="45"/>
      <c r="B40" s="4"/>
      <c r="C40" s="34"/>
      <c r="D40" s="5"/>
      <c r="E40" s="42"/>
      <c r="F40" s="5"/>
      <c r="G40" s="5"/>
      <c r="H40" s="5"/>
      <c r="I40" s="6"/>
      <c r="J40" s="34"/>
      <c r="K40" s="61"/>
      <c r="L40" s="66"/>
      <c r="M40" s="46"/>
      <c r="P40" s="64">
        <v>0.79</v>
      </c>
    </row>
    <row r="41" spans="1:16" x14ac:dyDescent="0.25">
      <c r="A41" s="45"/>
      <c r="B41" s="4"/>
      <c r="C41" s="34"/>
      <c r="D41" s="5"/>
      <c r="E41" s="42"/>
      <c r="F41" s="5"/>
      <c r="G41" s="5"/>
      <c r="H41" s="5"/>
      <c r="I41" s="6"/>
      <c r="J41" s="34"/>
      <c r="K41" s="61"/>
      <c r="L41" s="66"/>
      <c r="M41" s="46"/>
      <c r="P41" s="64">
        <v>0.87</v>
      </c>
    </row>
    <row r="42" spans="1:16" x14ac:dyDescent="0.25">
      <c r="A42" s="54"/>
      <c r="B42" s="55"/>
      <c r="C42" s="56"/>
      <c r="D42" s="57"/>
      <c r="E42" s="58"/>
      <c r="F42" s="57"/>
      <c r="G42" s="57"/>
      <c r="H42" s="57"/>
      <c r="I42" s="59"/>
      <c r="J42" s="56"/>
      <c r="K42" s="62"/>
      <c r="L42" s="66"/>
      <c r="M42" s="60"/>
      <c r="P42" s="64">
        <v>0.91</v>
      </c>
    </row>
    <row r="43" spans="1:16" hidden="1" x14ac:dyDescent="0.25">
      <c r="A43" s="47" t="s">
        <v>14</v>
      </c>
      <c r="B43" s="48">
        <f>B22</f>
        <v>10</v>
      </c>
      <c r="C43" s="49" t="b">
        <f>IF($B$22&lt;=$B$17,(C38-0)/($B$17-0)*$B$22,IF($B$22&lt;=$B$18,(C41-C38)/($B$18-$B$17)*($B$22-$B$17)+C38,IF($B$22&lt;=$B$21,(C42-C41)/($B$21-$B$18)*($B$22-$B$18)+C41)))</f>
        <v>0</v>
      </c>
      <c r="D43" s="50">
        <f>C43/(($D$8-$D$9)*1.163)</f>
        <v>0</v>
      </c>
      <c r="E43" s="51">
        <f>0.000115720760310885*D43^1.96267663452922</f>
        <v>0</v>
      </c>
      <c r="F43" s="50" t="b">
        <f>IF($B$22&lt;=$B$17,(F38-0)/($B$17-0)*$B$22,IF($B$22&lt;=$B$18,(F41-F38)/($B$18-$B$17)*($B$22-$B$17)+F38,IF($B$22&lt;=$B$21,(F42-F41)/($B$21-$B$18)*($B$22-$B$18)+F41)))</f>
        <v>0</v>
      </c>
      <c r="G43" s="50"/>
      <c r="H43" s="50">
        <f>F43/(($J$9-$J$8)*1.163)</f>
        <v>0</v>
      </c>
      <c r="I43" s="52">
        <f>0.000115720760310885*H43^1.96267663452922</f>
        <v>0</v>
      </c>
      <c r="J43" s="49" t="b">
        <f>IF($B$22&lt;=$B$17,(J38-0)/($B$17-0)*$B$22,IF($B$22&lt;=$B$18,(J41-J38)/($B$18-$B$17)*($B$22-$B$17)+J38,IF($B$22&lt;=$B$21,(J42-J41)/($B$21-$B$18)*($B$22-$B$18)+J41)))</f>
        <v>0</v>
      </c>
      <c r="K43" s="53" t="b">
        <f>IF($B$22&lt;=$B$17,(K38-0)/($B$17-0)*$B$22,IF($B$22&lt;=$B$18,(K41-K38)/($B$18-$B$17)*($B$22-$B$17)+K38,IF($B$22&lt;=$B$21,(K42-K41)/($B$21-$B$18)*($B$22-$B$18)+K41)))</f>
        <v>0</v>
      </c>
      <c r="L43" s="67" t="b">
        <f>IF($B$22&lt;=$B$17,(L38-0)/($B$17-0)*$B$22,IF($B$22&lt;=$B$18,(L41-L38)/($B$18-$B$17)*($B$22-$B$17)+L38,IF($B$22&lt;=$B$21,(L42-L41)/($B$21-$B$18)*($B$22-$B$18)+L41)))</f>
        <v>0</v>
      </c>
      <c r="M43" s="53" t="b">
        <f>IF($B$22&lt;=$B$17,(M38-0)/($B$17-0)*$B$22,IF($B$22&lt;=$B$18,(M41-M38)/($B$18-$B$17)*($B$22-$B$17)+M38,IF($B$22&lt;=$B$21,(M42-M41)/($B$21-$B$18)*($B$22-$B$18)+M41)))</f>
        <v>0</v>
      </c>
    </row>
    <row r="44" spans="1:16" ht="9.4" customHeight="1" x14ac:dyDescent="0.25">
      <c r="A44" s="7" t="s">
        <v>84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68"/>
      <c r="M44" s="65" t="str">
        <f>'Quatro Canal'!M44</f>
        <v>v11-10-2017</v>
      </c>
    </row>
    <row r="45" spans="1:16" ht="9.4" customHeight="1" x14ac:dyDescent="0.25">
      <c r="A45" s="7" t="s">
        <v>78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6" ht="9.4" customHeight="1" x14ac:dyDescent="0.25">
      <c r="A46" s="7" t="s">
        <v>79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6" s="3" customFormat="1" ht="16.149999999999999" hidden="1" customHeight="1" x14ac:dyDescent="0.25"/>
    <row r="48" spans="1:16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</sheetData>
  <sheetProtection algorithmName="SHA-512" hashValue="gBYesYStrb4fKbBWMgKdIKWGETXN/eDNVsIDpz7somgHh+zVoKmnl0x5CxSlOJCVquxgv+gHwfaDz0h3TOigrg==" saltValue="7u8ujX8JyEML9JCLCaO4YA==" spinCount="100000" sheet="1" selectLockedCells="1"/>
  <mergeCells count="11">
    <mergeCell ref="A12:D12"/>
    <mergeCell ref="A16:M16"/>
    <mergeCell ref="A23:M23"/>
    <mergeCell ref="A30:M30"/>
    <mergeCell ref="A37:M37"/>
    <mergeCell ref="A8:C8"/>
    <mergeCell ref="F8:I8"/>
    <mergeCell ref="A9:C9"/>
    <mergeCell ref="F9:I9"/>
    <mergeCell ref="A10:C10"/>
    <mergeCell ref="F10:I10"/>
  </mergeCells>
  <dataValidations count="8">
    <dataValidation type="decimal" errorStyle="information" allowBlank="1" showErrorMessage="1" error="Eingabe außerhalb des gültigen Bereichs." prompt="20°C bis 35°C" sqref="J11" xr:uid="{00000000-0002-0000-0400-000000000000}">
      <formula1>0.01</formula1>
      <formula2>1</formula2>
    </dataValidation>
    <dataValidation type="whole" errorStyle="information" allowBlank="1" showErrorMessage="1" error="Eingabe außerhalb des gültigen Bereichs." prompt="Eingabe zwischen 5°C bis 20°C" sqref="J8" xr:uid="{00000000-0002-0000-0400-000001000000}">
      <formula1>5</formula1>
      <formula2>20</formula2>
    </dataValidation>
    <dataValidation type="whole" errorStyle="information" allowBlank="1" showErrorMessage="1" error="Eingabe außerhalb des gültigen Bereichs." prompt="Eingabe zwischen Vorlauftemp. und Raumtemp." sqref="J9" xr:uid="{00000000-0002-0000-0400-000002000000}">
      <formula1>J8</formula1>
      <formula2>J10</formula2>
    </dataValidation>
    <dataValidation type="whole" errorStyle="information" allowBlank="1" showErrorMessage="1" error="Temperatur außerhalb des gütligen Bereichs." prompt="Eingabe zwischen 30°C bis 95°C" sqref="D8" xr:uid="{00000000-0002-0000-04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D9" xr:uid="{00000000-0002-0000-0400-000004000000}">
      <formula1>D10</formula1>
      <formula2>D8</formula2>
    </dataValidation>
    <dataValidation type="whole" errorStyle="information" allowBlank="1" showErrorMessage="1" error="Eingabe außerhalb des gültigen Bereichs." prompt="Eingabe zwischen 16°C bis 30°C" sqref="D10" xr:uid="{00000000-0002-0000-0400-000005000000}">
      <formula1>16</formula1>
      <formula2>30</formula2>
    </dataValidation>
    <dataValidation type="whole" errorStyle="information" allowBlank="1" showErrorMessage="1" error="Eingabe außerhalb des gültigen Bereichs." prompt="20°C bis 35°C" sqref="J10" xr:uid="{00000000-0002-0000-0400-000006000000}">
      <formula1>20</formula1>
      <formula2>35</formula2>
    </dataValidation>
    <dataValidation type="whole" errorStyle="information" allowBlank="1" showErrorMessage="1" error="Eingabe außerhalb des gültigen Bereichs." prompt="Eingabe zwischen 0% und 100%" sqref="E12" xr:uid="{00000000-0002-0000-0400-000007000000}">
      <formula1>0</formula1>
      <formula2>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Quatro Canal</vt:lpstr>
      <vt:lpstr>NL</vt:lpstr>
      <vt:lpstr>EN</vt:lpstr>
      <vt:lpstr>DE</vt:lpstr>
      <vt:lpstr>FR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Thomas</dc:creator>
  <cp:lastModifiedBy>Mattias Lindström</cp:lastModifiedBy>
  <cp:lastPrinted>2018-11-13T07:18:05Z</cp:lastPrinted>
  <dcterms:created xsi:type="dcterms:W3CDTF">2016-04-18T12:28:50Z</dcterms:created>
  <dcterms:modified xsi:type="dcterms:W3CDTF">2020-08-11T13:15:01Z</dcterms:modified>
</cp:coreProperties>
</file>