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nut\Dropbox (LYNGSON Group)\Epecon AB Team folder\Effekttabeller\"/>
    </mc:Choice>
  </mc:AlternateContent>
  <xr:revisionPtr revIDLastSave="0" documentId="8_{A53D9C2A-3E17-440E-8C4B-E563E439A143}" xr6:coauthVersionLast="34" xr6:coauthVersionMax="34" xr10:uidLastSave="{00000000-0000-0000-0000-000000000000}"/>
  <workbookProtection workbookAlgorithmName="SHA-512" workbookHashValue="yqXqkIvB0Nta4vUBf0k/548o5gq0anPYIiOp2gtW/lycpucctrb4c93y7O1tmPngF/cyfRuSFjnXQlX9mwHSAg==" workbookSaltValue="BZQWu5kiYJj6R6OWnlnDiQ==" workbookSpinCount="100000" lockStructure="1"/>
  <bookViews>
    <workbookView xWindow="-170" yWindow="-170" windowWidth="29130" windowHeight="15930" xr2:uid="{00000000-000D-0000-FFFF-FFFF00000000}"/>
  </bookViews>
  <sheets>
    <sheet name="Clima Canal" sheetId="16" r:id="rId1"/>
    <sheet name="cal" sheetId="8" state="hidden" r:id="rId2"/>
    <sheet name="NL" sheetId="9" state="hidden" r:id="rId3"/>
    <sheet name="EN" sheetId="13" state="hidden" r:id="rId4"/>
    <sheet name="DE" sheetId="14" state="hidden" r:id="rId5"/>
    <sheet name="FR" sheetId="15" state="hidden" r:id="rId6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6" l="1"/>
  <c r="K11" i="8" l="1"/>
  <c r="K10" i="8"/>
  <c r="K9" i="8"/>
  <c r="K8" i="8"/>
  <c r="E10" i="8"/>
  <c r="E9" i="8"/>
  <c r="E8" i="8"/>
  <c r="C38" i="16"/>
  <c r="B38" i="16"/>
  <c r="C37" i="16"/>
  <c r="B37" i="16"/>
  <c r="C36" i="16"/>
  <c r="B36" i="16"/>
  <c r="C35" i="16"/>
  <c r="B35" i="16"/>
  <c r="C34" i="16"/>
  <c r="B34" i="16"/>
  <c r="C32" i="16"/>
  <c r="B32" i="16"/>
  <c r="C31" i="16"/>
  <c r="B31" i="16"/>
  <c r="B30" i="16"/>
  <c r="C29" i="16"/>
  <c r="B29" i="16"/>
  <c r="C28" i="16"/>
  <c r="B28" i="16"/>
  <c r="C26" i="16"/>
  <c r="B26" i="16"/>
  <c r="C25" i="16"/>
  <c r="B25" i="16"/>
  <c r="C24" i="16"/>
  <c r="B24" i="16"/>
  <c r="C23" i="16"/>
  <c r="B23" i="16"/>
  <c r="C22" i="16"/>
  <c r="B22" i="16"/>
  <c r="C20" i="16"/>
  <c r="B20" i="16"/>
  <c r="C19" i="16"/>
  <c r="B19" i="16"/>
  <c r="C18" i="16"/>
  <c r="B18" i="16"/>
  <c r="C17" i="16"/>
  <c r="B17" i="16"/>
  <c r="C16" i="16"/>
  <c r="B16" i="16"/>
  <c r="M13" i="16"/>
  <c r="L13" i="16"/>
  <c r="K13" i="16"/>
  <c r="J10" i="16"/>
  <c r="I10" i="16"/>
  <c r="AG39" i="8" l="1"/>
  <c r="AN39" i="8" s="1"/>
  <c r="AG33" i="8"/>
  <c r="AN33" i="8" s="1"/>
  <c r="AG27" i="8"/>
  <c r="AN27" i="8" s="1"/>
  <c r="Z27" i="8" s="1"/>
  <c r="AJ21" i="8"/>
  <c r="AJ27" i="8" s="1"/>
  <c r="AJ33" i="8" s="1"/>
  <c r="AJ39" i="8" s="1"/>
  <c r="AG21" i="8"/>
  <c r="AN21" i="8" s="1"/>
  <c r="Z21" i="8" s="1"/>
  <c r="AE21" i="8"/>
  <c r="AL21" i="8" s="1"/>
  <c r="AC21" i="8"/>
  <c r="AC27" i="8" s="1"/>
  <c r="AL27" i="8" l="1"/>
  <c r="AL33" i="8" s="1"/>
  <c r="AL39" i="8" s="1"/>
  <c r="X21" i="8"/>
  <c r="V21" i="8"/>
  <c r="AE27" i="8"/>
  <c r="AE33" i="8" s="1"/>
  <c r="AE39" i="8" s="1"/>
  <c r="V27" i="8"/>
  <c r="AC33" i="8"/>
  <c r="Z39" i="8"/>
  <c r="Z33" i="8"/>
  <c r="X39" i="8" l="1"/>
  <c r="A15" i="15"/>
  <c r="A15" i="9"/>
  <c r="X27" i="8"/>
  <c r="A21" i="13" s="1"/>
  <c r="X33" i="8"/>
  <c r="A15" i="13"/>
  <c r="A15" i="14"/>
  <c r="AC39" i="8"/>
  <c r="V39" i="8" s="1"/>
  <c r="V33" i="8"/>
  <c r="A21" i="15" l="1"/>
  <c r="A21" i="14"/>
  <c r="A21" i="9"/>
  <c r="A27" i="9"/>
  <c r="A27" i="15"/>
  <c r="A27" i="14"/>
  <c r="A27" i="13"/>
  <c r="A33" i="15"/>
  <c r="A33" i="14"/>
  <c r="A33" i="13"/>
  <c r="A33" i="9"/>
  <c r="AE37" i="8" l="1"/>
  <c r="AJ37" i="8" s="1"/>
  <c r="AL37" i="8" s="1"/>
  <c r="AE35" i="8"/>
  <c r="AJ35" i="8" s="1"/>
  <c r="AL35" i="8" s="1"/>
  <c r="AE31" i="8"/>
  <c r="AJ31" i="8" s="1"/>
  <c r="AL31" i="8" s="1"/>
  <c r="AE29" i="8"/>
  <c r="AJ29" i="8" s="1"/>
  <c r="AL29" i="8" s="1"/>
  <c r="AE25" i="8"/>
  <c r="AJ25" i="8" s="1"/>
  <c r="AL25" i="8" s="1"/>
  <c r="AE23" i="8"/>
  <c r="AJ23" i="8" s="1"/>
  <c r="AL23" i="8" s="1"/>
  <c r="AE19" i="8"/>
  <c r="AJ19" i="8" s="1"/>
  <c r="AL19" i="8" s="1"/>
  <c r="AE17" i="8"/>
  <c r="AJ17" i="8" s="1"/>
  <c r="AL17" i="8" s="1"/>
  <c r="AI38" i="8"/>
  <c r="AI37" i="8"/>
  <c r="AI36" i="8"/>
  <c r="AI35" i="8"/>
  <c r="AI34" i="8"/>
  <c r="AI32" i="8"/>
  <c r="AI31" i="8"/>
  <c r="AI30" i="8"/>
  <c r="AI29" i="8"/>
  <c r="AI28" i="8"/>
  <c r="AI26" i="8"/>
  <c r="AI25" i="8"/>
  <c r="AI24" i="8"/>
  <c r="AI23" i="8"/>
  <c r="AI22" i="8"/>
  <c r="AI20" i="8"/>
  <c r="AI19" i="8"/>
  <c r="AI18" i="8"/>
  <c r="AI17" i="8"/>
  <c r="AI16" i="8"/>
  <c r="A8" i="9" l="1"/>
  <c r="Q8" i="8" l="1"/>
  <c r="U8" i="8"/>
  <c r="Q9" i="8"/>
  <c r="U9" i="8"/>
  <c r="Q10" i="8"/>
  <c r="U10" i="8"/>
  <c r="U16" i="8"/>
  <c r="V16" i="8"/>
  <c r="W16" i="8"/>
  <c r="X16" i="8"/>
  <c r="Y16" i="8"/>
  <c r="Z16" i="8"/>
  <c r="AM16" i="8"/>
  <c r="AN16" i="8"/>
  <c r="AO16" i="8"/>
  <c r="AA16" i="8" s="1"/>
  <c r="U17" i="8"/>
  <c r="V17" i="8"/>
  <c r="W17" i="8"/>
  <c r="X17" i="8"/>
  <c r="Z17" i="8"/>
  <c r="AA17" i="8"/>
  <c r="AM17" i="8"/>
  <c r="Y17" i="8" s="1"/>
  <c r="AN17" i="8"/>
  <c r="AO17" i="8"/>
  <c r="U18" i="8"/>
  <c r="V18" i="8"/>
  <c r="W18" i="8"/>
  <c r="X18" i="8"/>
  <c r="Y18" i="8"/>
  <c r="Z18" i="8"/>
  <c r="AM18" i="8"/>
  <c r="AN18" i="8"/>
  <c r="AO18" i="8"/>
  <c r="AA18" i="8" s="1"/>
  <c r="U19" i="8"/>
  <c r="V19" i="8"/>
  <c r="W19" i="8"/>
  <c r="X19" i="8"/>
  <c r="Z19" i="8"/>
  <c r="AA19" i="8"/>
  <c r="AM19" i="8"/>
  <c r="Y19" i="8" s="1"/>
  <c r="AN19" i="8"/>
  <c r="AO19" i="8"/>
  <c r="U20" i="8"/>
  <c r="W20" i="8"/>
  <c r="Z20" i="8"/>
  <c r="AA20" i="8"/>
  <c r="AM20" i="8"/>
  <c r="Y20" i="8" s="1"/>
  <c r="AN20" i="8"/>
  <c r="AO20" i="8"/>
  <c r="U22" i="8"/>
  <c r="V22" i="8"/>
  <c r="W22" i="8"/>
  <c r="X22" i="8"/>
  <c r="Y22" i="8"/>
  <c r="Z22" i="8"/>
  <c r="AM22" i="8"/>
  <c r="AN22" i="8"/>
  <c r="AO22" i="8"/>
  <c r="AA22" i="8" s="1"/>
  <c r="U23" i="8"/>
  <c r="V23" i="8"/>
  <c r="W23" i="8"/>
  <c r="X23" i="8"/>
  <c r="Z23" i="8"/>
  <c r="AA23" i="8"/>
  <c r="AM23" i="8"/>
  <c r="Y23" i="8" s="1"/>
  <c r="AN23" i="8"/>
  <c r="AO23" i="8"/>
  <c r="U24" i="8"/>
  <c r="V24" i="8"/>
  <c r="W24" i="8"/>
  <c r="X24" i="8"/>
  <c r="Y24" i="8"/>
  <c r="Z24" i="8"/>
  <c r="AM24" i="8"/>
  <c r="AN24" i="8"/>
  <c r="AO24" i="8"/>
  <c r="AA24" i="8" s="1"/>
  <c r="U25" i="8"/>
  <c r="V25" i="8"/>
  <c r="W25" i="8"/>
  <c r="X25" i="8"/>
  <c r="Z25" i="8"/>
  <c r="AA25" i="8"/>
  <c r="AM25" i="8"/>
  <c r="Y25" i="8" s="1"/>
  <c r="AN25" i="8"/>
  <c r="AO25" i="8"/>
  <c r="U26" i="8"/>
  <c r="W26" i="8"/>
  <c r="Z26" i="8"/>
  <c r="AA26" i="8"/>
  <c r="AM26" i="8"/>
  <c r="Y26" i="8" s="1"/>
  <c r="AN26" i="8"/>
  <c r="AO26" i="8"/>
  <c r="U28" i="8"/>
  <c r="V28" i="8"/>
  <c r="W28" i="8"/>
  <c r="X28" i="8"/>
  <c r="Y28" i="8"/>
  <c r="Z28" i="8"/>
  <c r="AM28" i="8"/>
  <c r="AN28" i="8"/>
  <c r="AO28" i="8"/>
  <c r="AA28" i="8" s="1"/>
  <c r="U29" i="8"/>
  <c r="V29" i="8"/>
  <c r="W29" i="8"/>
  <c r="X29" i="8"/>
  <c r="Z29" i="8"/>
  <c r="AA29" i="8"/>
  <c r="AM29" i="8"/>
  <c r="Y29" i="8" s="1"/>
  <c r="AN29" i="8"/>
  <c r="AO29" i="8"/>
  <c r="U30" i="8"/>
  <c r="V30" i="8"/>
  <c r="W30" i="8"/>
  <c r="X30" i="8"/>
  <c r="Y30" i="8"/>
  <c r="Z30" i="8"/>
  <c r="AM30" i="8"/>
  <c r="AN30" i="8"/>
  <c r="AO30" i="8"/>
  <c r="AA30" i="8" s="1"/>
  <c r="U31" i="8"/>
  <c r="V31" i="8"/>
  <c r="W31" i="8"/>
  <c r="X31" i="8"/>
  <c r="Z31" i="8"/>
  <c r="AA31" i="8"/>
  <c r="AM31" i="8"/>
  <c r="Y31" i="8" s="1"/>
  <c r="AN31" i="8"/>
  <c r="AO31" i="8"/>
  <c r="U32" i="8"/>
  <c r="W32" i="8"/>
  <c r="Z32" i="8"/>
  <c r="AA32" i="8"/>
  <c r="AM32" i="8"/>
  <c r="Y32" i="8" s="1"/>
  <c r="AN32" i="8"/>
  <c r="AO32" i="8"/>
  <c r="U34" i="8"/>
  <c r="V34" i="8"/>
  <c r="W34" i="8"/>
  <c r="X34" i="8"/>
  <c r="Y34" i="8"/>
  <c r="Z34" i="8"/>
  <c r="AM34" i="8"/>
  <c r="AN34" i="8"/>
  <c r="AO34" i="8"/>
  <c r="AA34" i="8" s="1"/>
  <c r="U35" i="8"/>
  <c r="V35" i="8"/>
  <c r="W35" i="8"/>
  <c r="X35" i="8"/>
  <c r="Z35" i="8"/>
  <c r="AA35" i="8"/>
  <c r="AM35" i="8"/>
  <c r="Y35" i="8" s="1"/>
  <c r="AN35" i="8"/>
  <c r="AO35" i="8"/>
  <c r="U36" i="8"/>
  <c r="V36" i="8"/>
  <c r="W36" i="8"/>
  <c r="X36" i="8"/>
  <c r="Y36" i="8"/>
  <c r="Z36" i="8"/>
  <c r="AM36" i="8"/>
  <c r="AN36" i="8"/>
  <c r="AO36" i="8"/>
  <c r="AA36" i="8" s="1"/>
  <c r="U37" i="8"/>
  <c r="V37" i="8"/>
  <c r="W37" i="8"/>
  <c r="X37" i="8"/>
  <c r="Z37" i="8"/>
  <c r="AA37" i="8"/>
  <c r="AM37" i="8"/>
  <c r="Y37" i="8" s="1"/>
  <c r="AN37" i="8"/>
  <c r="AO37" i="8"/>
  <c r="U38" i="8"/>
  <c r="W38" i="8"/>
  <c r="Z38" i="8"/>
  <c r="AA38" i="8"/>
  <c r="AM38" i="8"/>
  <c r="Y38" i="8" s="1"/>
  <c r="AN38" i="8"/>
  <c r="AO38" i="8"/>
  <c r="M38" i="8" l="1"/>
  <c r="M38" i="16" s="1"/>
  <c r="L38" i="8"/>
  <c r="L38" i="16" s="1"/>
  <c r="M37" i="8"/>
  <c r="M37" i="16" s="1"/>
  <c r="L37" i="8"/>
  <c r="L37" i="16" s="1"/>
  <c r="M36" i="8"/>
  <c r="M36" i="16" s="1"/>
  <c r="L36" i="8"/>
  <c r="L36" i="16" s="1"/>
  <c r="M35" i="8"/>
  <c r="M35" i="16" s="1"/>
  <c r="L35" i="8"/>
  <c r="L35" i="16" s="1"/>
  <c r="M34" i="8"/>
  <c r="M34" i="16" s="1"/>
  <c r="L34" i="8"/>
  <c r="L34" i="16" s="1"/>
  <c r="M32" i="8"/>
  <c r="M32" i="16" s="1"/>
  <c r="L32" i="8"/>
  <c r="L32" i="16" s="1"/>
  <c r="M31" i="8"/>
  <c r="M31" i="16" s="1"/>
  <c r="L31" i="8"/>
  <c r="L31" i="16" s="1"/>
  <c r="M30" i="8"/>
  <c r="M30" i="16" s="1"/>
  <c r="L30" i="8"/>
  <c r="L30" i="16" s="1"/>
  <c r="M29" i="8"/>
  <c r="M29" i="16" s="1"/>
  <c r="L29" i="8"/>
  <c r="L29" i="16" s="1"/>
  <c r="M28" i="8"/>
  <c r="M28" i="16" s="1"/>
  <c r="L28" i="8"/>
  <c r="L28" i="16" s="1"/>
  <c r="M26" i="8"/>
  <c r="M26" i="16" s="1"/>
  <c r="L26" i="8"/>
  <c r="L26" i="16" s="1"/>
  <c r="M25" i="8"/>
  <c r="M25" i="16" s="1"/>
  <c r="L25" i="8"/>
  <c r="L25" i="16" s="1"/>
  <c r="M24" i="8"/>
  <c r="M24" i="16" s="1"/>
  <c r="L24" i="8"/>
  <c r="L24" i="16" s="1"/>
  <c r="M23" i="8"/>
  <c r="M23" i="16" s="1"/>
  <c r="L23" i="8"/>
  <c r="L23" i="16" s="1"/>
  <c r="M22" i="8"/>
  <c r="M22" i="16" s="1"/>
  <c r="L22" i="8"/>
  <c r="L22" i="16" s="1"/>
  <c r="M20" i="8"/>
  <c r="M20" i="16" s="1"/>
  <c r="L20" i="8"/>
  <c r="L20" i="16" s="1"/>
  <c r="M19" i="8"/>
  <c r="M19" i="16" s="1"/>
  <c r="L19" i="8"/>
  <c r="L19" i="16" s="1"/>
  <c r="M18" i="8"/>
  <c r="M18" i="16" s="1"/>
  <c r="L18" i="8"/>
  <c r="L18" i="16" s="1"/>
  <c r="M17" i="8"/>
  <c r="M17" i="16" s="1"/>
  <c r="L17" i="8"/>
  <c r="L17" i="16" s="1"/>
  <c r="M16" i="8"/>
  <c r="M16" i="16" s="1"/>
  <c r="L16" i="8"/>
  <c r="L16" i="16" s="1"/>
  <c r="J13" i="8" l="1"/>
  <c r="J13" i="16" s="1"/>
  <c r="F13" i="8"/>
  <c r="F13" i="16" s="1"/>
  <c r="F10" i="15"/>
  <c r="A10" i="15"/>
  <c r="F9" i="15"/>
  <c r="A9" i="15"/>
  <c r="F8" i="15"/>
  <c r="A8" i="15"/>
  <c r="F10" i="14"/>
  <c r="A10" i="14"/>
  <c r="F9" i="14"/>
  <c r="A9" i="14"/>
  <c r="F8" i="14"/>
  <c r="A8" i="14"/>
  <c r="F10" i="13"/>
  <c r="A10" i="13"/>
  <c r="F9" i="13"/>
  <c r="A9" i="13"/>
  <c r="F8" i="13"/>
  <c r="A8" i="13"/>
  <c r="M14" i="15"/>
  <c r="M14" i="14"/>
  <c r="M14" i="13"/>
  <c r="M14" i="9"/>
  <c r="I14" i="15"/>
  <c r="E14" i="15"/>
  <c r="I14" i="14"/>
  <c r="E14" i="14"/>
  <c r="I14" i="13"/>
  <c r="E14" i="13"/>
  <c r="I14" i="9"/>
  <c r="E14" i="9"/>
  <c r="N13" i="8" l="1"/>
  <c r="N13" i="16" s="1"/>
  <c r="H14" i="15"/>
  <c r="H14" i="14"/>
  <c r="H14" i="13"/>
  <c r="D14" i="15"/>
  <c r="D14" i="14"/>
  <c r="D14" i="13"/>
  <c r="N38" i="8" l="1"/>
  <c r="N38" i="16" s="1"/>
  <c r="N34" i="8"/>
  <c r="N34" i="16" s="1"/>
  <c r="N29" i="8"/>
  <c r="N29" i="16" s="1"/>
  <c r="N24" i="8"/>
  <c r="N24" i="16" s="1"/>
  <c r="N19" i="8"/>
  <c r="N19" i="16" s="1"/>
  <c r="N25" i="8"/>
  <c r="N25" i="16" s="1"/>
  <c r="N16" i="8"/>
  <c r="N16" i="16" s="1"/>
  <c r="N37" i="8"/>
  <c r="N37" i="16" s="1"/>
  <c r="N32" i="8"/>
  <c r="N32" i="16" s="1"/>
  <c r="N28" i="8"/>
  <c r="N28" i="16" s="1"/>
  <c r="N23" i="8"/>
  <c r="N23" i="16" s="1"/>
  <c r="N18" i="8"/>
  <c r="N18" i="16" s="1"/>
  <c r="N35" i="8"/>
  <c r="N35" i="16" s="1"/>
  <c r="N20" i="8"/>
  <c r="N20" i="16" s="1"/>
  <c r="N36" i="8"/>
  <c r="N36" i="16" s="1"/>
  <c r="N31" i="8"/>
  <c r="N31" i="16" s="1"/>
  <c r="N26" i="8"/>
  <c r="N26" i="16" s="1"/>
  <c r="N22" i="8"/>
  <c r="N22" i="16" s="1"/>
  <c r="N17" i="8"/>
  <c r="N17" i="16" s="1"/>
  <c r="N30" i="8"/>
  <c r="N30" i="16" s="1"/>
  <c r="H14" i="9"/>
  <c r="D14" i="9"/>
  <c r="F10" i="9"/>
  <c r="A10" i="9"/>
  <c r="A9" i="9"/>
  <c r="F9" i="9"/>
  <c r="F8" i="9"/>
  <c r="I13" i="8"/>
  <c r="I13" i="16" s="1"/>
  <c r="E13" i="8"/>
  <c r="E13" i="16" s="1"/>
  <c r="H13" i="8"/>
  <c r="H13" i="16" s="1"/>
  <c r="G13" i="8"/>
  <c r="G13" i="16" s="1"/>
  <c r="D13" i="8"/>
  <c r="D13" i="16" s="1"/>
  <c r="D37" i="8" l="1"/>
  <c r="D37" i="16" s="1"/>
  <c r="D32" i="8"/>
  <c r="D32" i="16" s="1"/>
  <c r="D28" i="8"/>
  <c r="D23" i="8"/>
  <c r="D23" i="16" s="1"/>
  <c r="D18" i="8"/>
  <c r="D18" i="16" s="1"/>
  <c r="D38" i="8"/>
  <c r="D38" i="16" s="1"/>
  <c r="D24" i="8"/>
  <c r="D24" i="16" s="1"/>
  <c r="D19" i="8"/>
  <c r="D19" i="16" s="1"/>
  <c r="D36" i="8"/>
  <c r="D31" i="8"/>
  <c r="D31" i="16" s="1"/>
  <c r="D26" i="8"/>
  <c r="D26" i="16" s="1"/>
  <c r="D22" i="8"/>
  <c r="D17" i="8"/>
  <c r="D17" i="16" s="1"/>
  <c r="D34" i="8"/>
  <c r="D34" i="16" s="1"/>
  <c r="D35" i="8"/>
  <c r="D30" i="8"/>
  <c r="D30" i="16" s="1"/>
  <c r="D25" i="8"/>
  <c r="D25" i="16" s="1"/>
  <c r="D20" i="8"/>
  <c r="D20" i="16" s="1"/>
  <c r="D29" i="8"/>
  <c r="G36" i="8"/>
  <c r="G31" i="8"/>
  <c r="G26" i="8"/>
  <c r="G22" i="8"/>
  <c r="G17" i="8"/>
  <c r="G28" i="8"/>
  <c r="G35" i="8"/>
  <c r="G30" i="8"/>
  <c r="G25" i="8"/>
  <c r="G20" i="8"/>
  <c r="G16" i="8"/>
  <c r="G32" i="8"/>
  <c r="G23" i="8"/>
  <c r="G38" i="8"/>
  <c r="G34" i="8"/>
  <c r="G29" i="8"/>
  <c r="G24" i="8"/>
  <c r="G19" i="8"/>
  <c r="G37" i="8"/>
  <c r="G18" i="8"/>
  <c r="H23" i="8" l="1"/>
  <c r="H23" i="16" s="1"/>
  <c r="G23" i="16"/>
  <c r="H36" i="8"/>
  <c r="H36" i="16" s="1"/>
  <c r="G36" i="16"/>
  <c r="H18" i="8"/>
  <c r="H18" i="16" s="1"/>
  <c r="G18" i="16"/>
  <c r="H29" i="8"/>
  <c r="H29" i="16" s="1"/>
  <c r="G29" i="16"/>
  <c r="H32" i="8"/>
  <c r="H32" i="16" s="1"/>
  <c r="G32" i="16"/>
  <c r="H30" i="8"/>
  <c r="H30" i="16" s="1"/>
  <c r="G30" i="16"/>
  <c r="H22" i="8"/>
  <c r="H22" i="16" s="1"/>
  <c r="G22" i="16"/>
  <c r="E29" i="8"/>
  <c r="D29" i="16"/>
  <c r="E35" i="8"/>
  <c r="D35" i="16"/>
  <c r="E28" i="8"/>
  <c r="D28" i="16"/>
  <c r="H25" i="8"/>
  <c r="H25" i="16" s="1"/>
  <c r="G25" i="16"/>
  <c r="H37" i="8"/>
  <c r="H37" i="16" s="1"/>
  <c r="G37" i="16"/>
  <c r="H34" i="8"/>
  <c r="H34" i="16" s="1"/>
  <c r="G34" i="16"/>
  <c r="H16" i="8"/>
  <c r="H16" i="16" s="1"/>
  <c r="G16" i="16"/>
  <c r="H35" i="8"/>
  <c r="H35" i="16" s="1"/>
  <c r="G35" i="16"/>
  <c r="H26" i="8"/>
  <c r="H26" i="16" s="1"/>
  <c r="G26" i="16"/>
  <c r="H24" i="8"/>
  <c r="H24" i="16" s="1"/>
  <c r="G24" i="16"/>
  <c r="H17" i="8"/>
  <c r="H17" i="16" s="1"/>
  <c r="G17" i="16"/>
  <c r="E22" i="8"/>
  <c r="D22" i="16"/>
  <c r="H19" i="8"/>
  <c r="H19" i="16" s="1"/>
  <c r="G19" i="16"/>
  <c r="H38" i="8"/>
  <c r="H38" i="16" s="1"/>
  <c r="G38" i="16"/>
  <c r="H20" i="8"/>
  <c r="H20" i="16" s="1"/>
  <c r="G20" i="16"/>
  <c r="H28" i="8"/>
  <c r="H28" i="16" s="1"/>
  <c r="G28" i="16"/>
  <c r="H31" i="8"/>
  <c r="H31" i="16" s="1"/>
  <c r="G31" i="16"/>
  <c r="E36" i="8"/>
  <c r="D36" i="16"/>
  <c r="I37" i="8"/>
  <c r="I29" i="8" l="1"/>
  <c r="I29" i="16" s="1"/>
  <c r="I18" i="8"/>
  <c r="J18" i="8" s="1"/>
  <c r="J18" i="16" s="1"/>
  <c r="I34" i="8"/>
  <c r="J34" i="8" s="1"/>
  <c r="J34" i="16" s="1"/>
  <c r="I23" i="8"/>
  <c r="J23" i="8" s="1"/>
  <c r="J23" i="16" s="1"/>
  <c r="I36" i="8"/>
  <c r="J36" i="8" s="1"/>
  <c r="J36" i="16" s="1"/>
  <c r="I17" i="8"/>
  <c r="I17" i="16" s="1"/>
  <c r="I19" i="8"/>
  <c r="I19" i="16" s="1"/>
  <c r="I30" i="8"/>
  <c r="J30" i="8" s="1"/>
  <c r="J30" i="16" s="1"/>
  <c r="I32" i="8"/>
  <c r="J32" i="8" s="1"/>
  <c r="J32" i="16" s="1"/>
  <c r="I28" i="8"/>
  <c r="I28" i="16" s="1"/>
  <c r="I24" i="8"/>
  <c r="J24" i="8" s="1"/>
  <c r="J24" i="16" s="1"/>
  <c r="I35" i="8"/>
  <c r="I35" i="16" s="1"/>
  <c r="I25" i="8"/>
  <c r="I25" i="16" s="1"/>
  <c r="I26" i="8"/>
  <c r="I26" i="16" s="1"/>
  <c r="I16" i="8"/>
  <c r="J16" i="8" s="1"/>
  <c r="J16" i="16" s="1"/>
  <c r="F29" i="8"/>
  <c r="F29" i="16" s="1"/>
  <c r="E29" i="16"/>
  <c r="J37" i="8"/>
  <c r="J37" i="16" s="1"/>
  <c r="I37" i="16"/>
  <c r="F28" i="8"/>
  <c r="F28" i="16" s="1"/>
  <c r="E28" i="16"/>
  <c r="I22" i="8"/>
  <c r="I20" i="8"/>
  <c r="I31" i="8"/>
  <c r="I38" i="8"/>
  <c r="F36" i="8"/>
  <c r="F36" i="16" s="1"/>
  <c r="E36" i="16"/>
  <c r="F22" i="8"/>
  <c r="F22" i="16" s="1"/>
  <c r="E22" i="16"/>
  <c r="F35" i="8"/>
  <c r="F35" i="16" s="1"/>
  <c r="E35" i="16"/>
  <c r="K38" i="8"/>
  <c r="K38" i="16" s="1"/>
  <c r="K37" i="8"/>
  <c r="K37" i="16" s="1"/>
  <c r="K36" i="8"/>
  <c r="K36" i="16" s="1"/>
  <c r="K35" i="8"/>
  <c r="K35" i="16" s="1"/>
  <c r="K34" i="8"/>
  <c r="K34" i="16" s="1"/>
  <c r="K32" i="8"/>
  <c r="K32" i="16" s="1"/>
  <c r="K31" i="8"/>
  <c r="K31" i="16" s="1"/>
  <c r="K30" i="8"/>
  <c r="K30" i="16" s="1"/>
  <c r="K29" i="8"/>
  <c r="K29" i="16" s="1"/>
  <c r="K28" i="8"/>
  <c r="K28" i="16" s="1"/>
  <c r="K26" i="8"/>
  <c r="K26" i="16" s="1"/>
  <c r="K25" i="8"/>
  <c r="K25" i="16" s="1"/>
  <c r="K24" i="8"/>
  <c r="K24" i="16" s="1"/>
  <c r="K23" i="8"/>
  <c r="K23" i="16" s="1"/>
  <c r="K22" i="8"/>
  <c r="K22" i="16" s="1"/>
  <c r="K20" i="8"/>
  <c r="K20" i="16" s="1"/>
  <c r="K19" i="8"/>
  <c r="K19" i="16" s="1"/>
  <c r="K18" i="8"/>
  <c r="K18" i="16" s="1"/>
  <c r="K17" i="8"/>
  <c r="K17" i="16" s="1"/>
  <c r="K16" i="8"/>
  <c r="K16" i="16" s="1"/>
  <c r="J26" i="8" l="1"/>
  <c r="J26" i="16" s="1"/>
  <c r="I18" i="16"/>
  <c r="J17" i="8"/>
  <c r="J17" i="16" s="1"/>
  <c r="J28" i="8"/>
  <c r="J28" i="16" s="1"/>
  <c r="J19" i="8"/>
  <c r="J19" i="16" s="1"/>
  <c r="J29" i="8"/>
  <c r="J29" i="16" s="1"/>
  <c r="I34" i="16"/>
  <c r="I23" i="16"/>
  <c r="I24" i="16"/>
  <c r="I36" i="16"/>
  <c r="I16" i="16"/>
  <c r="J35" i="8"/>
  <c r="J35" i="16" s="1"/>
  <c r="I30" i="16"/>
  <c r="I32" i="16"/>
  <c r="J25" i="8"/>
  <c r="J25" i="16" s="1"/>
  <c r="J22" i="8"/>
  <c r="J22" i="16" s="1"/>
  <c r="I22" i="16"/>
  <c r="J38" i="8"/>
  <c r="J38" i="16" s="1"/>
  <c r="I38" i="16"/>
  <c r="J31" i="8"/>
  <c r="J31" i="16" s="1"/>
  <c r="I31" i="16"/>
  <c r="J20" i="8"/>
  <c r="J20" i="16" s="1"/>
  <c r="I20" i="16"/>
  <c r="B7" i="8"/>
  <c r="B7" i="16" s="1"/>
  <c r="B6" i="8"/>
  <c r="B6" i="16" s="1"/>
  <c r="B41" i="8"/>
  <c r="B40" i="8"/>
  <c r="B39" i="8"/>
  <c r="N33" i="8"/>
  <c r="N33" i="16" s="1"/>
  <c r="M33" i="8"/>
  <c r="M33" i="16" s="1"/>
  <c r="L33" i="8"/>
  <c r="L33" i="16" s="1"/>
  <c r="K33" i="8"/>
  <c r="K33" i="16" s="1"/>
  <c r="J33" i="8"/>
  <c r="J33" i="16" s="1"/>
  <c r="I33" i="8"/>
  <c r="I33" i="16" s="1"/>
  <c r="H33" i="8"/>
  <c r="H33" i="16" s="1"/>
  <c r="G33" i="8"/>
  <c r="G33" i="16" s="1"/>
  <c r="F33" i="8"/>
  <c r="F33" i="16" s="1"/>
  <c r="E33" i="8"/>
  <c r="E33" i="16" s="1"/>
  <c r="D33" i="8"/>
  <c r="D33" i="16" s="1"/>
  <c r="C33" i="8"/>
  <c r="C33" i="16" s="1"/>
  <c r="B33" i="8"/>
  <c r="B33" i="16" s="1"/>
  <c r="N27" i="8"/>
  <c r="N27" i="16" s="1"/>
  <c r="M27" i="8"/>
  <c r="M27" i="16" s="1"/>
  <c r="L27" i="8"/>
  <c r="L27" i="16" s="1"/>
  <c r="K27" i="8"/>
  <c r="K27" i="16" s="1"/>
  <c r="J27" i="8"/>
  <c r="J27" i="16" s="1"/>
  <c r="I27" i="8"/>
  <c r="I27" i="16" s="1"/>
  <c r="H27" i="8"/>
  <c r="H27" i="16" s="1"/>
  <c r="G27" i="8"/>
  <c r="G27" i="16" s="1"/>
  <c r="F27" i="8"/>
  <c r="F27" i="16" s="1"/>
  <c r="E27" i="8"/>
  <c r="E27" i="16" s="1"/>
  <c r="D27" i="8"/>
  <c r="D27" i="16" s="1"/>
  <c r="C27" i="8"/>
  <c r="C27" i="16" s="1"/>
  <c r="B27" i="8"/>
  <c r="B27" i="16" s="1"/>
  <c r="N21" i="8"/>
  <c r="N21" i="16" s="1"/>
  <c r="M21" i="8"/>
  <c r="M21" i="16" s="1"/>
  <c r="L21" i="8"/>
  <c r="L21" i="16" s="1"/>
  <c r="K21" i="8"/>
  <c r="K21" i="16" s="1"/>
  <c r="J21" i="8"/>
  <c r="J21" i="16" s="1"/>
  <c r="I21" i="8"/>
  <c r="I21" i="16" s="1"/>
  <c r="H21" i="8"/>
  <c r="H21" i="16" s="1"/>
  <c r="G21" i="8"/>
  <c r="G21" i="16" s="1"/>
  <c r="F21" i="8"/>
  <c r="F21" i="16" s="1"/>
  <c r="E21" i="8"/>
  <c r="E21" i="16" s="1"/>
  <c r="D21" i="8"/>
  <c r="D21" i="16" s="1"/>
  <c r="C21" i="8"/>
  <c r="C21" i="16" s="1"/>
  <c r="B21" i="8"/>
  <c r="B21" i="16" s="1"/>
  <c r="N15" i="8"/>
  <c r="N15" i="16" s="1"/>
  <c r="M15" i="8"/>
  <c r="M15" i="16" s="1"/>
  <c r="L15" i="8"/>
  <c r="L15" i="16" s="1"/>
  <c r="K15" i="8"/>
  <c r="K15" i="16" s="1"/>
  <c r="J15" i="8"/>
  <c r="J15" i="16" s="1"/>
  <c r="I15" i="8"/>
  <c r="I15" i="16" s="1"/>
  <c r="H15" i="8"/>
  <c r="H15" i="16" s="1"/>
  <c r="G15" i="8"/>
  <c r="G15" i="16" s="1"/>
  <c r="F15" i="8"/>
  <c r="F15" i="16" s="1"/>
  <c r="E15" i="8"/>
  <c r="E15" i="16" s="1"/>
  <c r="D15" i="8"/>
  <c r="D15" i="16" s="1"/>
  <c r="C15" i="8"/>
  <c r="C15" i="16" s="1"/>
  <c r="B15" i="8"/>
  <c r="B15" i="16" s="1"/>
  <c r="N14" i="8"/>
  <c r="N14" i="16" s="1"/>
  <c r="M14" i="8"/>
  <c r="M14" i="16" s="1"/>
  <c r="L14" i="8"/>
  <c r="L14" i="16" s="1"/>
  <c r="K14" i="8"/>
  <c r="K14" i="16" s="1"/>
  <c r="J14" i="8"/>
  <c r="J14" i="16" s="1"/>
  <c r="I14" i="8"/>
  <c r="I14" i="16" s="1"/>
  <c r="F14" i="8"/>
  <c r="F14" i="16" s="1"/>
  <c r="E14" i="8"/>
  <c r="E14" i="16" s="1"/>
  <c r="C14" i="8"/>
  <c r="C14" i="16" s="1"/>
  <c r="B14" i="8"/>
  <c r="B14" i="16" s="1"/>
  <c r="G11" i="8"/>
  <c r="G11" i="16" s="1"/>
  <c r="H10" i="8"/>
  <c r="H10" i="16" s="1"/>
  <c r="G10" i="8"/>
  <c r="G10" i="16" s="1"/>
  <c r="J9" i="8"/>
  <c r="J9" i="16" s="1"/>
  <c r="I9" i="8"/>
  <c r="I9" i="16" s="1"/>
  <c r="H9" i="8"/>
  <c r="H9" i="16" s="1"/>
  <c r="G9" i="8"/>
  <c r="G9" i="16" s="1"/>
  <c r="J8" i="8"/>
  <c r="J8" i="16" s="1"/>
  <c r="I8" i="8"/>
  <c r="I8" i="16" s="1"/>
  <c r="H8" i="8"/>
  <c r="H8" i="16" s="1"/>
  <c r="G8" i="8"/>
  <c r="G8" i="16" s="1"/>
  <c r="G7" i="8"/>
  <c r="G7" i="16" s="1"/>
  <c r="D10" i="8"/>
  <c r="D10" i="16" s="1"/>
  <c r="C10" i="8"/>
  <c r="C10" i="16" s="1"/>
  <c r="B10" i="8"/>
  <c r="B10" i="16" s="1"/>
  <c r="D9" i="8"/>
  <c r="D9" i="16" s="1"/>
  <c r="C9" i="8"/>
  <c r="C9" i="16" s="1"/>
  <c r="B9" i="8"/>
  <c r="B9" i="16" s="1"/>
  <c r="D8" i="8"/>
  <c r="D8" i="16" s="1"/>
  <c r="C8" i="8"/>
  <c r="C8" i="16" s="1"/>
  <c r="B8" i="8"/>
  <c r="B8" i="16" s="1"/>
  <c r="B4" i="8"/>
  <c r="B4" i="16" s="1"/>
  <c r="B2" i="8"/>
  <c r="B2" i="16" s="1"/>
  <c r="M39" i="9"/>
  <c r="M39" i="13"/>
  <c r="M39" i="14"/>
  <c r="M39" i="15"/>
  <c r="J11" i="13" l="1"/>
  <c r="J11" i="15"/>
  <c r="J11" i="14"/>
  <c r="J9" i="13"/>
  <c r="J9" i="14"/>
  <c r="J9" i="15"/>
  <c r="J11" i="9"/>
  <c r="J8" i="15"/>
  <c r="J8" i="14"/>
  <c r="J10" i="13"/>
  <c r="J10" i="15"/>
  <c r="J10" i="14"/>
  <c r="J8" i="13"/>
  <c r="J8" i="9"/>
  <c r="J9" i="9"/>
  <c r="J10" i="9"/>
  <c r="F14" i="15" l="1"/>
  <c r="G14" i="15"/>
  <c r="F14" i="13"/>
  <c r="G14" i="13"/>
  <c r="F14" i="14"/>
  <c r="G14" i="14"/>
  <c r="G14" i="9"/>
  <c r="F14" i="9"/>
  <c r="D8" i="15"/>
  <c r="D10" i="15"/>
  <c r="D10" i="14"/>
  <c r="D10" i="9"/>
  <c r="D10" i="13"/>
  <c r="D9" i="14"/>
  <c r="D9" i="13"/>
  <c r="D9" i="9"/>
  <c r="D9" i="15"/>
  <c r="D8" i="14"/>
  <c r="D8" i="13"/>
  <c r="D8" i="9"/>
  <c r="C14" i="9" s="1"/>
  <c r="C14" i="14" l="1"/>
  <c r="H14" i="8"/>
  <c r="H14" i="16" s="1"/>
  <c r="C14" i="13"/>
  <c r="C14" i="15"/>
  <c r="G14" i="8"/>
  <c r="G14" i="16" s="1"/>
  <c r="D14" i="8" l="1"/>
  <c r="D14" i="16" s="1"/>
  <c r="D16" i="8" l="1"/>
  <c r="E17" i="8"/>
  <c r="E17" i="16" s="1"/>
  <c r="E18" i="8"/>
  <c r="E18" i="16" s="1"/>
  <c r="E19" i="8"/>
  <c r="E19" i="16" s="1"/>
  <c r="E20" i="8"/>
  <c r="E20" i="16" s="1"/>
  <c r="E23" i="8"/>
  <c r="E24" i="8"/>
  <c r="E25" i="8"/>
  <c r="E26" i="8"/>
  <c r="E30" i="8"/>
  <c r="E31" i="8"/>
  <c r="E32" i="8"/>
  <c r="E34" i="8"/>
  <c r="E37" i="8"/>
  <c r="E38" i="8"/>
  <c r="F24" i="8" l="1"/>
  <c r="F24" i="16" s="1"/>
  <c r="E24" i="16"/>
  <c r="F32" i="8"/>
  <c r="F32" i="16" s="1"/>
  <c r="E32" i="16"/>
  <c r="F38" i="8"/>
  <c r="F38" i="16" s="1"/>
  <c r="E38" i="16"/>
  <c r="F37" i="8"/>
  <c r="F37" i="16" s="1"/>
  <c r="E37" i="16"/>
  <c r="F30" i="8"/>
  <c r="F30" i="16" s="1"/>
  <c r="E30" i="16"/>
  <c r="F23" i="8"/>
  <c r="F23" i="16" s="1"/>
  <c r="E23" i="16"/>
  <c r="F25" i="8"/>
  <c r="F25" i="16" s="1"/>
  <c r="E25" i="16"/>
  <c r="F31" i="8"/>
  <c r="F31" i="16" s="1"/>
  <c r="E31" i="16"/>
  <c r="F34" i="8"/>
  <c r="F34" i="16" s="1"/>
  <c r="E34" i="16"/>
  <c r="F26" i="8"/>
  <c r="F26" i="16" s="1"/>
  <c r="E26" i="16"/>
  <c r="E16" i="8"/>
  <c r="E16" i="16" s="1"/>
  <c r="D16" i="16"/>
  <c r="F20" i="8"/>
  <c r="F20" i="16" s="1"/>
  <c r="F18" i="8"/>
  <c r="F18" i="16" s="1"/>
  <c r="F19" i="8"/>
  <c r="F19" i="16" s="1"/>
  <c r="F17" i="8"/>
  <c r="F17" i="16" s="1"/>
  <c r="F16" i="8" l="1"/>
  <c r="F16" i="16" s="1"/>
</calcChain>
</file>

<file path=xl/sharedStrings.xml><?xml version="1.0" encoding="utf-8"?>
<sst xmlns="http://schemas.openxmlformats.org/spreadsheetml/2006/main" count="163" uniqueCount="80">
  <si>
    <t>Drehzahlstufe:</t>
  </si>
  <si>
    <t>Regelspannung: [V]</t>
  </si>
  <si>
    <t>Heizen:</t>
  </si>
  <si>
    <t>Eingabefelder</t>
  </si>
  <si>
    <t>Temperaturen</t>
  </si>
  <si>
    <t>Auslegungsrandbedingungen</t>
  </si>
  <si>
    <t>Leistungsaufnahme [W]</t>
  </si>
  <si>
    <t>**Schallleistungspegel nach ISO 3741:2010</t>
  </si>
  <si>
    <t>***Schalldruckpegel bei angenommener Raumdämpfung von 8dB(A)</t>
  </si>
  <si>
    <t>Schalldruckpegel *** [dB(A)]</t>
  </si>
  <si>
    <t>Kühlen:</t>
  </si>
  <si>
    <t>n-value</t>
  </si>
  <si>
    <t>Verwarmen:</t>
  </si>
  <si>
    <t>Koelen:</t>
  </si>
  <si>
    <t>Stuurspanning: [V]</t>
  </si>
  <si>
    <t>Geluidsdruk *** [dB(A)]</t>
  </si>
  <si>
    <t>Opgenomen elektr. vermogen [W]</t>
  </si>
  <si>
    <t>Snelheidsniveau:</t>
  </si>
  <si>
    <t>Randvoorwaarden</t>
  </si>
  <si>
    <t>Invulformulier</t>
  </si>
  <si>
    <t>**Geluidsvermogen gemeten volgens ISO 3741:2010</t>
  </si>
  <si>
    <t>***Geluidsdruk bij een aangenomen ruimtedemping van 8 dB(A)</t>
  </si>
  <si>
    <t>Temperatures</t>
  </si>
  <si>
    <t>Heating:</t>
  </si>
  <si>
    <t>Cooling:</t>
  </si>
  <si>
    <t>Speed level:</t>
  </si>
  <si>
    <t>Control voltage [V]</t>
  </si>
  <si>
    <t>Sound pressure *** [dB(A)]</t>
  </si>
  <si>
    <t>Electrical power [W]</t>
  </si>
  <si>
    <t>**Sound power according to ISO 3741:2010</t>
  </si>
  <si>
    <t>***Sound pressure with an assumed room damping of 8dB(A)</t>
  </si>
  <si>
    <t>Conditions</t>
  </si>
  <si>
    <t>Niveau de vitesse</t>
  </si>
  <si>
    <t>rel. Luftf. [%]</t>
  </si>
  <si>
    <t>rel. humid. [%]</t>
  </si>
  <si>
    <t>rel. vocht. [%]</t>
  </si>
  <si>
    <t>EN</t>
  </si>
  <si>
    <t>NL</t>
  </si>
  <si>
    <t>DE</t>
  </si>
  <si>
    <t>FR</t>
  </si>
  <si>
    <t>Formulary</t>
  </si>
  <si>
    <t>Formulaire</t>
  </si>
  <si>
    <t>Voltage [V]</t>
  </si>
  <si>
    <t>Refroidir:</t>
  </si>
  <si>
    <t>Pression sonore *** [dB(A)]</t>
  </si>
  <si>
    <t>Puissance absorbée [W]</t>
  </si>
  <si>
    <t>Puissance sonore ** [dB(A)]</t>
  </si>
  <si>
    <t>**Puissance sonore testé selon ISO 3741:2010</t>
  </si>
  <si>
    <t>***Pression sonore avec une atténuation ambiante du 8dB(A)</t>
  </si>
  <si>
    <t>Geluidsvermogen ** [dB(A)]</t>
  </si>
  <si>
    <t>Sound power ** [dB(A)]</t>
  </si>
  <si>
    <t>Schallleistungspegel ** [dB(A)]</t>
  </si>
  <si>
    <t>Températures</t>
  </si>
  <si>
    <t>Chauffer:</t>
  </si>
  <si>
    <t>hum. rel. [%]</t>
  </si>
  <si>
    <t>Q_verw</t>
  </si>
  <si>
    <t>dP_verw</t>
  </si>
  <si>
    <t>a</t>
  </si>
  <si>
    <t>b</t>
  </si>
  <si>
    <t>Taal/Language/Sprache/Langue</t>
  </si>
  <si>
    <t>Uitvoering/version/Ausführung/Version</t>
  </si>
  <si>
    <t>Temp</t>
  </si>
  <si>
    <t>Q_voelb_c</t>
  </si>
  <si>
    <t>dP_cool</t>
  </si>
  <si>
    <t>Geluid_P</t>
  </si>
  <si>
    <t>P_elek</t>
  </si>
  <si>
    <t>V_air</t>
  </si>
  <si>
    <t>*Testé selon EN 16430</t>
  </si>
  <si>
    <t>*Leistungsangaben nach EN 16430</t>
  </si>
  <si>
    <t>*Values according to EN 16430</t>
  </si>
  <si>
    <t>*Waardes gemeten volgens EN 16430</t>
  </si>
  <si>
    <t>Clima Canal H008</t>
  </si>
  <si>
    <t>Clima Canal H010</t>
  </si>
  <si>
    <t>Clima H008 B18</t>
  </si>
  <si>
    <t>Clima H010 B18</t>
  </si>
  <si>
    <t>v29-01-2018</t>
  </si>
  <si>
    <t>H</t>
  </si>
  <si>
    <t>B</t>
  </si>
  <si>
    <t>L</t>
  </si>
  <si>
    <t>v30-01-2018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</si>
</sst>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7" tint="0.7999816888943144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lightUp"/>
    </fill>
    <fill>
      <patternFill patternType="solid">
        <fgColor rgb="FFE0E0E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0" tint="-0.34998626667073579"/>
      </right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Border="1"/>
    <xf numFmtId="0" fontId="0" fillId="3" borderId="0" xfId="0" applyFill="1" applyBorder="1"/>
    <xf numFmtId="0" fontId="1" fillId="3" borderId="0" xfId="0" applyFont="1" applyFill="1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1" fillId="3" borderId="5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8" xfId="0" applyFill="1" applyBorder="1"/>
    <xf numFmtId="0" fontId="0" fillId="3" borderId="9" xfId="0" applyFill="1" applyBorder="1"/>
    <xf numFmtId="0" fontId="1" fillId="3" borderId="0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/>
    <xf numFmtId="49" fontId="7" fillId="4" borderId="10" xfId="0" applyNumberFormat="1" applyFont="1" applyFill="1" applyBorder="1"/>
    <xf numFmtId="0" fontId="8" fillId="4" borderId="1" xfId="0" applyFont="1" applyFill="1" applyBorder="1" applyAlignment="1">
      <alignment horizontal="left"/>
    </xf>
    <xf numFmtId="0" fontId="0" fillId="2" borderId="8" xfId="0" applyFill="1" applyBorder="1"/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1" fontId="0" fillId="2" borderId="5" xfId="0" applyNumberFormat="1" applyFill="1" applyBorder="1" applyAlignment="1">
      <alignment horizontal="center" vertical="center"/>
    </xf>
    <xf numFmtId="0" fontId="6" fillId="2" borderId="0" xfId="0" applyFont="1" applyFill="1" applyBorder="1"/>
    <xf numFmtId="0" fontId="9" fillId="3" borderId="0" xfId="0" applyFont="1" applyFill="1" applyBorder="1"/>
    <xf numFmtId="0" fontId="1" fillId="3" borderId="3" xfId="0" applyFont="1" applyFill="1" applyBorder="1" applyAlignment="1">
      <alignment horizontal="center" vertical="center" textRotation="90" wrapText="1"/>
    </xf>
    <xf numFmtId="2" fontId="0" fillId="2" borderId="6" xfId="0" applyNumberForma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9" fontId="0" fillId="2" borderId="5" xfId="0" applyNumberFormat="1" applyFill="1" applyBorder="1"/>
    <xf numFmtId="0" fontId="10" fillId="2" borderId="6" xfId="0" applyFont="1" applyFill="1" applyBorder="1" applyAlignment="1">
      <alignment horizontal="center" vertical="center"/>
    </xf>
    <xf numFmtId="9" fontId="0" fillId="2" borderId="14" xfId="0" applyNumberFormat="1" applyFill="1" applyBorder="1"/>
    <xf numFmtId="0" fontId="0" fillId="2" borderId="15" xfId="0" applyFill="1" applyBorder="1" applyAlignment="1">
      <alignment horizontal="center" vertical="center"/>
    </xf>
    <xf numFmtId="1" fontId="0" fillId="2" borderId="14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2" fontId="0" fillId="2" borderId="16" xfId="0" applyNumberFormat="1" applyFill="1" applyBorder="1" applyAlignment="1">
      <alignment horizontal="center" vertical="center"/>
    </xf>
    <xf numFmtId="2" fontId="0" fillId="2" borderId="15" xfId="0" applyNumberForma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1" fontId="0" fillId="2" borderId="6" xfId="0" applyNumberFormat="1" applyFill="1" applyBorder="1" applyAlignment="1">
      <alignment horizontal="center" vertical="center"/>
    </xf>
    <xf numFmtId="1" fontId="0" fillId="2" borderId="16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center" vertical="center"/>
    </xf>
    <xf numFmtId="0" fontId="0" fillId="2" borderId="17" xfId="0" applyFill="1" applyBorder="1"/>
    <xf numFmtId="0" fontId="0" fillId="3" borderId="0" xfId="0" applyFill="1" applyBorder="1" applyAlignment="1">
      <alignment horizontal="left"/>
    </xf>
    <xf numFmtId="0" fontId="0" fillId="2" borderId="0" xfId="0" applyFill="1" applyBorder="1" applyProtection="1">
      <protection locked="0"/>
    </xf>
    <xf numFmtId="0" fontId="1" fillId="2" borderId="0" xfId="0" applyFont="1" applyFill="1" applyBorder="1" applyProtection="1"/>
    <xf numFmtId="0" fontId="0" fillId="2" borderId="0" xfId="0" applyFill="1" applyBorder="1" applyProtection="1"/>
    <xf numFmtId="0" fontId="8" fillId="4" borderId="1" xfId="0" applyFont="1" applyFill="1" applyBorder="1" applyAlignment="1" applyProtection="1">
      <alignment horizontal="left"/>
    </xf>
    <xf numFmtId="0" fontId="6" fillId="2" borderId="0" xfId="0" applyFont="1" applyFill="1" applyBorder="1" applyProtection="1"/>
    <xf numFmtId="0" fontId="1" fillId="3" borderId="2" xfId="0" applyFont="1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1" fillId="3" borderId="5" xfId="0" applyFont="1" applyFill="1" applyBorder="1" applyProtection="1"/>
    <xf numFmtId="0" fontId="0" fillId="3" borderId="0" xfId="0" applyFill="1" applyBorder="1" applyProtection="1"/>
    <xf numFmtId="0" fontId="0" fillId="3" borderId="6" xfId="0" applyFill="1" applyBorder="1" applyProtection="1"/>
    <xf numFmtId="0" fontId="0" fillId="2" borderId="0" xfId="0" applyFill="1" applyProtection="1"/>
    <xf numFmtId="0" fontId="1" fillId="3" borderId="0" xfId="0" applyFont="1" applyFill="1" applyBorder="1" applyProtection="1"/>
    <xf numFmtId="0" fontId="9" fillId="3" borderId="0" xfId="0" applyFont="1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5" xfId="0" applyFill="1" applyBorder="1" applyProtection="1"/>
    <xf numFmtId="9" fontId="0" fillId="4" borderId="1" xfId="0" applyNumberForma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left"/>
    </xf>
    <xf numFmtId="0" fontId="1" fillId="3" borderId="8" xfId="0" applyFont="1" applyFill="1" applyBorder="1" applyAlignment="1" applyProtection="1">
      <alignment horizontal="left"/>
    </xf>
    <xf numFmtId="0" fontId="0" fillId="3" borderId="8" xfId="0" applyFill="1" applyBorder="1" applyProtection="1"/>
    <xf numFmtId="0" fontId="0" fillId="2" borderId="0" xfId="0" applyFill="1" applyAlignment="1" applyProtection="1">
      <alignment horizontal="center" vertical="center" wrapText="1"/>
    </xf>
    <xf numFmtId="9" fontId="0" fillId="2" borderId="5" xfId="0" applyNumberFormat="1" applyFill="1" applyBorder="1" applyProtection="1"/>
    <xf numFmtId="0" fontId="0" fillId="2" borderId="0" xfId="0" applyFill="1" applyBorder="1" applyAlignment="1" applyProtection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</xf>
    <xf numFmtId="1" fontId="0" fillId="2" borderId="0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/>
    </xf>
    <xf numFmtId="2" fontId="0" fillId="2" borderId="0" xfId="0" applyNumberFormat="1" applyFill="1" applyBorder="1" applyAlignment="1" applyProtection="1">
      <alignment horizontal="center" vertical="center"/>
    </xf>
    <xf numFmtId="164" fontId="10" fillId="2" borderId="0" xfId="0" applyNumberFormat="1" applyFont="1" applyFill="1" applyBorder="1" applyAlignment="1" applyProtection="1">
      <alignment horizontal="center" vertical="center"/>
    </xf>
    <xf numFmtId="9" fontId="0" fillId="2" borderId="14" xfId="0" applyNumberFormat="1" applyFill="1" applyBorder="1" applyProtection="1"/>
    <xf numFmtId="0" fontId="0" fillId="2" borderId="15" xfId="0" applyFill="1" applyBorder="1" applyAlignment="1" applyProtection="1">
      <alignment horizontal="center" vertical="center"/>
    </xf>
    <xf numFmtId="1" fontId="0" fillId="2" borderId="14" xfId="0" applyNumberFormat="1" applyFill="1" applyBorder="1" applyAlignment="1" applyProtection="1">
      <alignment horizontal="center" vertical="center"/>
    </xf>
    <xf numFmtId="1" fontId="0" fillId="2" borderId="15" xfId="0" applyNumberFormat="1" applyFill="1" applyBorder="1" applyAlignment="1" applyProtection="1">
      <alignment horizontal="center" vertical="center"/>
    </xf>
    <xf numFmtId="2" fontId="0" fillId="2" borderId="16" xfId="0" applyNumberFormat="1" applyFill="1" applyBorder="1" applyAlignment="1" applyProtection="1">
      <alignment horizontal="center" vertical="center"/>
    </xf>
    <xf numFmtId="2" fontId="0" fillId="2" borderId="15" xfId="0" applyNumberFormat="1" applyFill="1" applyBorder="1" applyAlignment="1" applyProtection="1">
      <alignment horizontal="center" vertical="center"/>
    </xf>
    <xf numFmtId="0" fontId="2" fillId="2" borderId="0" xfId="0" applyFont="1" applyFill="1" applyBorder="1" applyProtection="1"/>
    <xf numFmtId="0" fontId="0" fillId="2" borderId="17" xfId="0" applyFill="1" applyBorder="1" applyProtection="1"/>
    <xf numFmtId="0" fontId="2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1" fillId="3" borderId="20" xfId="0" applyFont="1" applyFill="1" applyBorder="1" applyAlignment="1" applyProtection="1">
      <alignment horizontal="center" vertical="center" textRotation="90" wrapText="1"/>
    </xf>
    <xf numFmtId="0" fontId="1" fillId="3" borderId="21" xfId="0" applyFont="1" applyFill="1" applyBorder="1" applyAlignment="1" applyProtection="1">
      <alignment horizontal="center" vertical="center" textRotation="90" wrapText="1"/>
    </xf>
    <xf numFmtId="0" fontId="3" fillId="3" borderId="22" xfId="0" applyFont="1" applyFill="1" applyBorder="1" applyAlignment="1" applyProtection="1">
      <alignment horizontal="center" vertical="center" textRotation="90" wrapText="1"/>
    </xf>
    <xf numFmtId="0" fontId="1" fillId="3" borderId="22" xfId="0" applyFont="1" applyFill="1" applyBorder="1" applyAlignment="1" applyProtection="1">
      <alignment horizontal="center" vertical="center" textRotation="90" wrapText="1"/>
    </xf>
    <xf numFmtId="0" fontId="12" fillId="3" borderId="20" xfId="0" applyFont="1" applyFill="1" applyBorder="1" applyAlignment="1" applyProtection="1">
      <alignment horizontal="center" vertical="center" textRotation="90" wrapText="1"/>
    </xf>
    <xf numFmtId="0" fontId="13" fillId="3" borderId="20" xfId="0" applyFont="1" applyFill="1" applyBorder="1" applyAlignment="1" applyProtection="1">
      <alignment horizontal="center" vertical="center" textRotation="90" wrapText="1"/>
    </xf>
    <xf numFmtId="0" fontId="13" fillId="3" borderId="21" xfId="0" applyFont="1" applyFill="1" applyBorder="1" applyAlignment="1" applyProtection="1">
      <alignment horizontal="center" vertical="center" textRotation="90" wrapText="1"/>
    </xf>
    <xf numFmtId="0" fontId="14" fillId="3" borderId="20" xfId="0" applyFont="1" applyFill="1" applyBorder="1" applyAlignment="1" applyProtection="1">
      <alignment horizontal="center" vertical="center" textRotation="90" wrapText="1"/>
    </xf>
    <xf numFmtId="0" fontId="14" fillId="3" borderId="22" xfId="0" applyFont="1" applyFill="1" applyBorder="1" applyAlignment="1" applyProtection="1">
      <alignment horizontal="center" vertical="center" textRotation="90" wrapText="1"/>
    </xf>
    <xf numFmtId="0" fontId="15" fillId="3" borderId="20" xfId="0" applyFont="1" applyFill="1" applyBorder="1" applyAlignment="1" applyProtection="1">
      <alignment horizontal="center" vertical="center" textRotation="90" wrapText="1"/>
    </xf>
    <xf numFmtId="0" fontId="15" fillId="3" borderId="22" xfId="0" applyFont="1" applyFill="1" applyBorder="1" applyAlignment="1" applyProtection="1">
      <alignment horizontal="center" vertical="center" textRotation="90" wrapText="1"/>
    </xf>
    <xf numFmtId="0" fontId="0" fillId="3" borderId="0" xfId="0" applyFill="1" applyBorder="1" applyAlignment="1">
      <alignment horizontal="left"/>
    </xf>
    <xf numFmtId="164" fontId="0" fillId="2" borderId="6" xfId="0" applyNumberFormat="1" applyFill="1" applyBorder="1" applyAlignment="1" applyProtection="1">
      <alignment horizontal="center" vertical="center"/>
    </xf>
    <xf numFmtId="164" fontId="0" fillId="2" borderId="16" xfId="0" applyNumberForma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alignment horizontal="center" vertical="center" textRotation="255"/>
      <protection locked="0"/>
    </xf>
    <xf numFmtId="0" fontId="2" fillId="2" borderId="24" xfId="0" applyFont="1" applyFill="1" applyBorder="1" applyAlignment="1" applyProtection="1">
      <alignment horizontal="center" vertical="center" textRotation="255"/>
      <protection locked="0"/>
    </xf>
    <xf numFmtId="0" fontId="2" fillId="2" borderId="25" xfId="0" applyFont="1" applyFill="1" applyBorder="1" applyAlignment="1" applyProtection="1">
      <alignment horizontal="center" vertical="center" textRotation="255"/>
      <protection locked="0"/>
    </xf>
    <xf numFmtId="164" fontId="0" fillId="2" borderId="5" xfId="0" applyNumberFormat="1" applyFill="1" applyBorder="1" applyAlignment="1" applyProtection="1">
      <alignment horizontal="center" vertical="center"/>
    </xf>
    <xf numFmtId="164" fontId="0" fillId="2" borderId="14" xfId="0" applyNumberFormat="1" applyFill="1" applyBorder="1" applyAlignment="1" applyProtection="1">
      <alignment horizontal="center" vertical="center"/>
    </xf>
    <xf numFmtId="0" fontId="0" fillId="2" borderId="0" xfId="0" applyNumberFormat="1" applyFill="1" applyBorder="1" applyAlignment="1" applyProtection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</xf>
    <xf numFmtId="0" fontId="10" fillId="2" borderId="8" xfId="0" applyFont="1" applyFill="1" applyBorder="1" applyProtection="1"/>
    <xf numFmtId="1" fontId="10" fillId="2" borderId="6" xfId="0" applyNumberFormat="1" applyFont="1" applyFill="1" applyBorder="1" applyAlignment="1" applyProtection="1">
      <alignment horizontal="center" vertical="center"/>
    </xf>
    <xf numFmtId="1" fontId="10" fillId="2" borderId="16" xfId="0" applyNumberFormat="1" applyFont="1" applyFill="1" applyBorder="1" applyAlignment="1" applyProtection="1">
      <alignment horizontal="center" vertical="center"/>
    </xf>
    <xf numFmtId="165" fontId="18" fillId="2" borderId="8" xfId="0" applyNumberFormat="1" applyFont="1" applyFill="1" applyBorder="1" applyAlignment="1" applyProtection="1">
      <alignment horizontal="center"/>
    </xf>
    <xf numFmtId="0" fontId="18" fillId="2" borderId="8" xfId="0" applyFont="1" applyFill="1" applyBorder="1" applyProtection="1"/>
    <xf numFmtId="0" fontId="16" fillId="2" borderId="0" xfId="0" applyFont="1" applyFill="1" applyBorder="1" applyAlignment="1" applyProtection="1">
      <alignment horizontal="left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2" borderId="32" xfId="0" applyFont="1" applyFill="1" applyBorder="1" applyAlignment="1" applyProtection="1">
      <alignment horizontal="center" vertical="center"/>
      <protection locked="0"/>
    </xf>
    <xf numFmtId="164" fontId="16" fillId="2" borderId="32" xfId="0" applyNumberFormat="1" applyFont="1" applyFill="1" applyBorder="1" applyAlignment="1" applyProtection="1">
      <alignment horizontal="center" vertical="center"/>
      <protection locked="0"/>
    </xf>
    <xf numFmtId="0" fontId="16" fillId="2" borderId="30" xfId="0" applyFont="1" applyFill="1" applyBorder="1" applyAlignment="1" applyProtection="1">
      <alignment horizontal="center" vertical="center"/>
      <protection locked="0"/>
    </xf>
    <xf numFmtId="0" fontId="16" fillId="2" borderId="27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164" fontId="16" fillId="2" borderId="0" xfId="0" applyNumberFormat="1" applyFont="1" applyFill="1" applyBorder="1" applyAlignment="1" applyProtection="1">
      <alignment horizontal="center" vertical="center"/>
      <protection locked="0"/>
    </xf>
    <xf numFmtId="0" fontId="16" fillId="2" borderId="28" xfId="0" applyFont="1" applyFill="1" applyBorder="1" applyAlignment="1" applyProtection="1">
      <alignment horizontal="center" vertical="center"/>
      <protection locked="0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0" fontId="16" fillId="2" borderId="33" xfId="0" applyFont="1" applyFill="1" applyBorder="1" applyAlignment="1" applyProtection="1">
      <alignment horizontal="center" vertical="center"/>
      <protection locked="0"/>
    </xf>
    <xf numFmtId="0" fontId="16" fillId="5" borderId="33" xfId="0" applyFont="1" applyFill="1" applyBorder="1" applyAlignment="1" applyProtection="1">
      <alignment horizontal="center" vertical="center"/>
      <protection locked="0"/>
    </xf>
    <xf numFmtId="164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16" fillId="2" borderId="31" xfId="0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0" fontId="17" fillId="2" borderId="30" xfId="0" applyFont="1" applyFill="1" applyBorder="1" applyAlignment="1" applyProtection="1">
      <alignment horizontal="center" vertical="center"/>
      <protection locked="0"/>
    </xf>
    <xf numFmtId="1" fontId="16" fillId="2" borderId="26" xfId="0" applyNumberFormat="1" applyFont="1" applyFill="1" applyBorder="1" applyAlignment="1" applyProtection="1">
      <alignment horizontal="center" vertical="center"/>
      <protection locked="0"/>
    </xf>
    <xf numFmtId="1" fontId="16" fillId="2" borderId="27" xfId="0" applyNumberFormat="1" applyFont="1" applyFill="1" applyBorder="1" applyAlignment="1" applyProtection="1">
      <alignment horizontal="center" vertical="center"/>
      <protection locked="0"/>
    </xf>
    <xf numFmtId="1" fontId="16" fillId="2" borderId="29" xfId="0" applyNumberFormat="1" applyFont="1" applyFill="1" applyBorder="1" applyAlignment="1" applyProtection="1">
      <alignment horizontal="center" vertical="center"/>
      <protection locked="0"/>
    </xf>
    <xf numFmtId="1" fontId="16" fillId="2" borderId="32" xfId="0" applyNumberFormat="1" applyFont="1" applyFill="1" applyBorder="1" applyAlignment="1" applyProtection="1">
      <alignment horizontal="center" vertical="center"/>
      <protection locked="0"/>
    </xf>
    <xf numFmtId="1" fontId="16" fillId="2" borderId="0" xfId="0" applyNumberFormat="1" applyFont="1" applyFill="1" applyBorder="1" applyAlignment="1" applyProtection="1">
      <alignment horizontal="center" vertical="center"/>
      <protection locked="0"/>
    </xf>
    <xf numFmtId="1" fontId="16" fillId="2" borderId="33" xfId="0" applyNumberFormat="1" applyFont="1" applyFill="1" applyBorder="1" applyAlignment="1" applyProtection="1">
      <alignment horizontal="center" vertical="center"/>
      <protection locked="0"/>
    </xf>
    <xf numFmtId="0" fontId="0" fillId="7" borderId="26" xfId="0" applyFill="1" applyBorder="1" applyProtection="1"/>
    <xf numFmtId="0" fontId="0" fillId="7" borderId="30" xfId="0" applyFill="1" applyBorder="1" applyProtection="1"/>
    <xf numFmtId="0" fontId="0" fillId="7" borderId="27" xfId="0" applyFill="1" applyBorder="1" applyProtection="1"/>
    <xf numFmtId="0" fontId="0" fillId="7" borderId="28" xfId="0" applyFill="1" applyBorder="1" applyProtection="1"/>
    <xf numFmtId="0" fontId="0" fillId="7" borderId="29" xfId="0" applyFill="1" applyBorder="1" applyProtection="1"/>
    <xf numFmtId="0" fontId="0" fillId="7" borderId="31" xfId="0" applyFill="1" applyBorder="1" applyProtection="1"/>
    <xf numFmtId="0" fontId="17" fillId="2" borderId="10" xfId="0" applyFont="1" applyFill="1" applyBorder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Protection="1"/>
    <xf numFmtId="0" fontId="17" fillId="7" borderId="1" xfId="0" applyFont="1" applyFill="1" applyBorder="1" applyAlignment="1" applyProtection="1">
      <alignment horizontal="center" vertical="center"/>
      <protection locked="0"/>
    </xf>
    <xf numFmtId="164" fontId="2" fillId="2" borderId="32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left"/>
    </xf>
    <xf numFmtId="0" fontId="0" fillId="3" borderId="9" xfId="0" applyFill="1" applyBorder="1" applyProtection="1"/>
    <xf numFmtId="9" fontId="0" fillId="2" borderId="5" xfId="0" applyNumberFormat="1" applyFill="1" applyBorder="1" applyProtection="1"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0" xfId="0" applyNumberFormat="1" applyFill="1" applyBorder="1" applyAlignment="1" applyProtection="1">
      <alignment horizontal="center" vertical="center"/>
      <protection locked="0"/>
    </xf>
    <xf numFmtId="2" fontId="0" fillId="2" borderId="0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10" fillId="2" borderId="0" xfId="0" applyNumberFormat="1" applyFont="1" applyFill="1" applyBorder="1" applyAlignment="1" applyProtection="1">
      <alignment horizontal="center" vertical="center"/>
      <protection locked="0"/>
    </xf>
    <xf numFmtId="1" fontId="10" fillId="2" borderId="6" xfId="0" applyNumberFormat="1" applyFont="1" applyFill="1" applyBorder="1" applyAlignment="1" applyProtection="1">
      <alignment horizontal="center" vertical="center"/>
      <protection locked="0"/>
    </xf>
    <xf numFmtId="9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" fontId="10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0" fontId="0" fillId="3" borderId="5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1" fillId="4" borderId="18" xfId="0" applyFont="1" applyFill="1" applyBorder="1" applyAlignment="1" applyProtection="1">
      <alignment horizontal="center"/>
    </xf>
    <xf numFmtId="0" fontId="11" fillId="4" borderId="19" xfId="0" applyFont="1" applyFill="1" applyBorder="1" applyAlignment="1" applyProtection="1">
      <alignment horizontal="center"/>
    </xf>
    <xf numFmtId="0" fontId="11" fillId="4" borderId="10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0" fillId="3" borderId="5" xfId="0" applyFill="1" applyBorder="1" applyAlignment="1">
      <alignment horizontal="left"/>
    </xf>
    <xf numFmtId="0" fontId="0" fillId="3" borderId="0" xfId="0" applyFill="1" applyBorder="1" applyAlignment="1">
      <alignment horizontal="left"/>
    </xf>
  </cellXfs>
  <cellStyles count="23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Normal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Link="cal!$Q$5" fmlaRange="cal!$Q$1:$Q$4" noThreeD="1" sel="2" val="0"/>
</file>

<file path=xl/ctrlProps/ctrlProp2.xml><?xml version="1.0" encoding="utf-8"?>
<formControlPr xmlns="http://schemas.microsoft.com/office/spreadsheetml/2009/9/main" objectType="Drop" dropStyle="combo" dx="16" fmlaLink="cal!$U$15" fmlaRange="cal!$V$1:$V$2" noThreeD="1" sel="2" val="0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</xdr:row>
          <xdr:rowOff>0</xdr:rowOff>
        </xdr:from>
        <xdr:to>
          <xdr:col>13</xdr:col>
          <xdr:colOff>190500</xdr:colOff>
          <xdr:row>2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50800</xdr:colOff>
          <xdr:row>2</xdr:row>
          <xdr:rowOff>184150</xdr:rowOff>
        </xdr:from>
        <xdr:to>
          <xdr:col>13</xdr:col>
          <xdr:colOff>203200</xdr:colOff>
          <xdr:row>3</xdr:row>
          <xdr:rowOff>184150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8</xdr:row>
          <xdr:rowOff>38100</xdr:rowOff>
        </xdr:from>
        <xdr:to>
          <xdr:col>13</xdr:col>
          <xdr:colOff>447673</xdr:colOff>
          <xdr:row>11</xdr:row>
          <xdr:rowOff>47625</xdr:rowOff>
        </xdr:to>
        <xdr:grpSp>
          <xdr:nvGrpSpPr>
            <xdr:cNvPr id="4" name="Groe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6038850" y="1403350"/>
              <a:ext cx="949323" cy="561975"/>
              <a:chOff x="9363077" y="609601"/>
              <a:chExt cx="1113895" cy="476249"/>
            </a:xfrm>
          </xdr:grpSpPr>
          <xdr:sp macro="" textlink="">
            <xdr:nvSpPr>
              <xdr:cNvPr id="2051" name="rbtnSI" hidden="1">
                <a:extLst>
                  <a:ext uri="{63B3BB69-23CF-44E3-9099-C40C66FF867C}">
                    <a14:compatExt spid="_x0000_s2051"/>
                  </a:ext>
                  <a:ext uri="{FF2B5EF4-FFF2-40B4-BE49-F238E27FC236}">
                    <a16:creationId xmlns:a16="http://schemas.microsoft.com/office/drawing/2014/main" id="{00000000-0008-0000-0000-000003080000}"/>
                  </a:ext>
                </a:extLst>
              </xdr:cNvPr>
              <xdr:cNvSpPr/>
            </xdr:nvSpPr>
            <xdr:spPr bwMode="auto">
              <a:xfrm>
                <a:off x="9363077" y="609601"/>
                <a:ext cx="90719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2" name="rbtnImperial" hidden="1">
                <a:extLst>
                  <a:ext uri="{63B3BB69-23CF-44E3-9099-C40C66FF867C}">
                    <a14:compatExt spid="_x0000_s2052"/>
                  </a:ext>
                  <a:ext uri="{FF2B5EF4-FFF2-40B4-BE49-F238E27FC236}">
                    <a16:creationId xmlns:a16="http://schemas.microsoft.com/office/drawing/2014/main" id="{00000000-0008-0000-0000-000004080000}"/>
                  </a:ext>
                </a:extLst>
              </xdr:cNvPr>
              <xdr:cNvSpPr/>
            </xdr:nvSpPr>
            <xdr:spPr bwMode="auto">
              <a:xfrm>
                <a:off x="9363082" y="828675"/>
                <a:ext cx="1113890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8</xdr:col>
      <xdr:colOff>269876</xdr:colOff>
      <xdr:row>5</xdr:row>
      <xdr:rowOff>53974</xdr:rowOff>
    </xdr:from>
    <xdr:to>
      <xdr:col>9</xdr:col>
      <xdr:colOff>155576</xdr:colOff>
      <xdr:row>7</xdr:row>
      <xdr:rowOff>38099</xdr:rowOff>
    </xdr:to>
    <xdr:sp macro="" textlink="">
      <xdr:nvSpPr>
        <xdr:cNvPr id="2" name="Pratbubbla: 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59226" y="892174"/>
          <a:ext cx="400050" cy="365125"/>
        </a:xfrm>
        <a:prstGeom prst="wedgeEllipseCallout">
          <a:avLst>
            <a:gd name="adj1" fmla="val 46497"/>
            <a:gd name="adj2" fmla="val -9466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400"/>
            <a:t>1</a:t>
          </a:r>
          <a:r>
            <a:rPr lang="sv-SE" sz="1100"/>
            <a:t>. Välj</a:t>
          </a:r>
        </a:p>
      </xdr:txBody>
    </xdr:sp>
    <xdr:clientData/>
  </xdr:twoCellAnchor>
  <xdr:twoCellAnchor>
    <xdr:from>
      <xdr:col>2</xdr:col>
      <xdr:colOff>358775</xdr:colOff>
      <xdr:row>2</xdr:row>
      <xdr:rowOff>34925</xdr:rowOff>
    </xdr:from>
    <xdr:to>
      <xdr:col>3</xdr:col>
      <xdr:colOff>342900</xdr:colOff>
      <xdr:row>4</xdr:row>
      <xdr:rowOff>9525</xdr:rowOff>
    </xdr:to>
    <xdr:sp macro="" textlink="">
      <xdr:nvSpPr>
        <xdr:cNvPr id="3" name="Pratbubbla: 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62025" y="415925"/>
          <a:ext cx="396875" cy="355600"/>
        </a:xfrm>
        <a:prstGeom prst="wedgeEllipseCallout">
          <a:avLst>
            <a:gd name="adj1" fmla="val -44089"/>
            <a:gd name="adj2" fmla="val 880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400"/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pageSetUpPr fitToPage="1"/>
  </sheetPr>
  <dimension ref="A1:P47"/>
  <sheetViews>
    <sheetView tabSelected="1" zoomScaleNormal="100" workbookViewId="0">
      <pane ySplit="14" topLeftCell="A15" activePane="bottomLeft" state="frozen"/>
      <selection pane="bottomLeft" activeCell="E8" sqref="E8"/>
    </sheetView>
  </sheetViews>
  <sheetFormatPr defaultColWidth="0" defaultRowHeight="0" customHeight="1" zeroHeight="1" x14ac:dyDescent="0.35"/>
  <cols>
    <col min="1" max="1" width="2" style="62" customWidth="1"/>
    <col min="2" max="2" width="7" style="62" customWidth="1"/>
    <col min="3" max="3" width="6.1796875" style="62" customWidth="1"/>
    <col min="4" max="4" width="7.26953125" style="62" customWidth="1"/>
    <col min="5" max="5" width="7.1796875" style="62" customWidth="1"/>
    <col min="6" max="6" width="7.54296875" style="62" customWidth="1"/>
    <col min="7" max="7" width="9.453125" style="62" customWidth="1"/>
    <col min="8" max="8" width="8.54296875" style="62" customWidth="1"/>
    <col min="9" max="9" width="7.7265625" style="62" customWidth="1"/>
    <col min="10" max="10" width="7" style="62" customWidth="1"/>
    <col min="11" max="11" width="7.81640625" style="62" customWidth="1"/>
    <col min="12" max="12" width="8.1796875" style="62" customWidth="1"/>
    <col min="13" max="13" width="7.7265625" style="62" customWidth="1"/>
    <col min="14" max="14" width="7" style="62" customWidth="1"/>
    <col min="15" max="15" width="2" style="62" customWidth="1"/>
    <col min="16" max="16" width="2" style="62" hidden="1" customWidth="1"/>
    <col min="17" max="16384" width="9.1796875" style="62" hidden="1"/>
  </cols>
  <sheetData>
    <row r="1" spans="2:14" s="53" customFormat="1" ht="14.5" x14ac:dyDescent="0.35">
      <c r="B1" s="52"/>
    </row>
    <row r="2" spans="2:14" s="53" customFormat="1" ht="14.5" x14ac:dyDescent="0.35">
      <c r="B2" s="54" t="str">
        <f>cal!B2</f>
        <v>Formulary</v>
      </c>
      <c r="C2" s="153"/>
      <c r="G2" s="191" t="s">
        <v>59</v>
      </c>
      <c r="H2" s="192"/>
      <c r="I2" s="192"/>
      <c r="J2" s="193"/>
    </row>
    <row r="3" spans="2:14" s="53" customFormat="1" ht="14.5" x14ac:dyDescent="0.35">
      <c r="B3" s="52"/>
    </row>
    <row r="4" spans="2:14" s="53" customFormat="1" ht="14.5" x14ac:dyDescent="0.35">
      <c r="B4" s="55" t="str">
        <f>cal!B4</f>
        <v>Conditions</v>
      </c>
      <c r="G4" s="191" t="s">
        <v>60</v>
      </c>
      <c r="H4" s="192"/>
      <c r="I4" s="192"/>
      <c r="J4" s="193"/>
    </row>
    <row r="5" spans="2:14" s="53" customFormat="1" ht="6" customHeight="1" x14ac:dyDescent="0.35"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2:14" ht="14.5" x14ac:dyDescent="0.35">
      <c r="B6" s="59" t="str">
        <f>cal!B6</f>
        <v>Temperatures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</row>
    <row r="7" spans="2:14" ht="14.5" x14ac:dyDescent="0.35">
      <c r="B7" s="59" t="str">
        <f>cal!B7</f>
        <v>Heating:</v>
      </c>
      <c r="C7" s="60"/>
      <c r="D7" s="60"/>
      <c r="E7" s="60"/>
      <c r="F7" s="60"/>
      <c r="G7" s="63" t="str">
        <f>cal!G7</f>
        <v>Cooling:</v>
      </c>
      <c r="H7" s="63"/>
      <c r="I7" s="63"/>
      <c r="J7" s="60"/>
      <c r="K7" s="60"/>
      <c r="L7" s="60"/>
      <c r="M7" s="64"/>
      <c r="N7" s="61"/>
    </row>
    <row r="8" spans="2:14" ht="14.5" x14ac:dyDescent="0.35">
      <c r="B8" s="189" t="str">
        <f>cal!B8</f>
        <v>Inlet temp. [°C]</v>
      </c>
      <c r="C8" s="190">
        <f>cal!C8</f>
        <v>0</v>
      </c>
      <c r="D8" s="190">
        <f>cal!D8</f>
        <v>0</v>
      </c>
      <c r="E8" s="114">
        <v>75</v>
      </c>
      <c r="F8" s="163"/>
      <c r="G8" s="190" t="str">
        <f>cal!G8</f>
        <v>Inlet temp. [°C]</v>
      </c>
      <c r="H8" s="190">
        <f>cal!H8</f>
        <v>0</v>
      </c>
      <c r="I8" s="190">
        <f>cal!I8</f>
        <v>0</v>
      </c>
      <c r="J8" s="190">
        <f>cal!J8</f>
        <v>0</v>
      </c>
      <c r="K8" s="114">
        <v>7.9999999999999991</v>
      </c>
      <c r="L8" s="60"/>
      <c r="M8" s="60"/>
      <c r="N8" s="61"/>
    </row>
    <row r="9" spans="2:14" ht="14.5" x14ac:dyDescent="0.35">
      <c r="B9" s="189" t="str">
        <f>cal!B9</f>
        <v>Return temp. [°C]</v>
      </c>
      <c r="C9" s="190">
        <f>cal!C9</f>
        <v>0</v>
      </c>
      <c r="D9" s="190">
        <f>cal!D9</f>
        <v>0</v>
      </c>
      <c r="E9" s="114">
        <v>65</v>
      </c>
      <c r="F9" s="163"/>
      <c r="G9" s="190" t="str">
        <f>cal!G9</f>
        <v>Return temp. [°C]</v>
      </c>
      <c r="H9" s="190">
        <f>cal!H9</f>
        <v>0</v>
      </c>
      <c r="I9" s="190">
        <f>cal!I9</f>
        <v>0</v>
      </c>
      <c r="J9" s="190">
        <f>cal!J9</f>
        <v>0</v>
      </c>
      <c r="K9" s="114">
        <v>12</v>
      </c>
      <c r="L9" s="60"/>
      <c r="M9" s="146"/>
      <c r="N9" s="147"/>
    </row>
    <row r="10" spans="2:14" ht="14.5" x14ac:dyDescent="0.35">
      <c r="B10" s="189" t="str">
        <f>cal!B10</f>
        <v>Room temp. [°C]</v>
      </c>
      <c r="C10" s="190">
        <f>cal!C10</f>
        <v>0</v>
      </c>
      <c r="D10" s="190">
        <f>cal!D10</f>
        <v>0</v>
      </c>
      <c r="E10" s="114">
        <v>20</v>
      </c>
      <c r="F10" s="163"/>
      <c r="G10" s="190" t="str">
        <f>cal!G10</f>
        <v>Room temp. [°C]</v>
      </c>
      <c r="H10" s="190">
        <f>cal!H10</f>
        <v>0</v>
      </c>
      <c r="I10" s="190">
        <f>cal!I10</f>
        <v>0</v>
      </c>
      <c r="J10" s="190">
        <f>cal!J10</f>
        <v>0</v>
      </c>
      <c r="K10" s="114">
        <v>25</v>
      </c>
      <c r="L10" s="60"/>
      <c r="M10" s="148"/>
      <c r="N10" s="149"/>
    </row>
    <row r="11" spans="2:14" ht="14.5" x14ac:dyDescent="0.35">
      <c r="B11" s="66"/>
      <c r="C11" s="60"/>
      <c r="D11" s="60"/>
      <c r="E11" s="60"/>
      <c r="F11" s="60"/>
      <c r="G11" s="60" t="str">
        <f>cal!G11</f>
        <v>rel. humid. [%]</v>
      </c>
      <c r="H11" s="60"/>
      <c r="I11" s="60"/>
      <c r="J11" s="60"/>
      <c r="K11" s="46">
        <v>0.5</v>
      </c>
      <c r="L11" s="60"/>
      <c r="M11" s="148"/>
      <c r="N11" s="149"/>
    </row>
    <row r="12" spans="2:14" ht="6" customHeight="1" x14ac:dyDescent="0.35">
      <c r="B12" s="68"/>
      <c r="C12" s="69"/>
      <c r="D12" s="69"/>
      <c r="E12" s="69"/>
      <c r="F12" s="70"/>
      <c r="G12" s="70"/>
      <c r="H12" s="70"/>
      <c r="I12" s="70"/>
      <c r="J12" s="70"/>
      <c r="K12" s="70"/>
      <c r="L12" s="70"/>
      <c r="M12" s="150"/>
      <c r="N12" s="151"/>
    </row>
    <row r="13" spans="2:14" ht="14.5" x14ac:dyDescent="0.35">
      <c r="B13" s="116"/>
      <c r="C13" s="116"/>
      <c r="D13" s="119">
        <f>cal!D13</f>
        <v>1</v>
      </c>
      <c r="E13" s="119">
        <f>cal!E13</f>
        <v>1</v>
      </c>
      <c r="F13" s="119">
        <f>cal!F13</f>
        <v>1</v>
      </c>
      <c r="G13" s="119">
        <f>cal!G13</f>
        <v>1</v>
      </c>
      <c r="H13" s="119">
        <f>cal!H13</f>
        <v>1</v>
      </c>
      <c r="I13" s="119">
        <f>cal!I13</f>
        <v>1</v>
      </c>
      <c r="J13" s="119">
        <f>cal!J13</f>
        <v>1</v>
      </c>
      <c r="K13" s="120">
        <f>cal!K13</f>
        <v>0</v>
      </c>
      <c r="L13" s="120">
        <f>cal!L13</f>
        <v>0</v>
      </c>
      <c r="M13" s="120">
        <f>cal!M13</f>
        <v>0</v>
      </c>
      <c r="N13" s="119">
        <f>cal!N13</f>
        <v>1</v>
      </c>
    </row>
    <row r="14" spans="2:14" s="71" customFormat="1" ht="103.5" customHeight="1" x14ac:dyDescent="0.35">
      <c r="B14" s="92" t="str">
        <f>cal!B14</f>
        <v>Speed level:</v>
      </c>
      <c r="C14" s="95" t="str">
        <f>cal!C14</f>
        <v>Control voltage [V]</v>
      </c>
      <c r="D14" s="96" t="str">
        <f>cal!D14</f>
        <v>Heat output * 75/65/20 [W]</v>
      </c>
      <c r="E14" s="93" t="str">
        <f>cal!E14</f>
        <v>Water flowrate, heating [l/h]</v>
      </c>
      <c r="F14" s="94" t="str">
        <f>cal!F14</f>
        <v>Watersided pressure loss [kPa]</v>
      </c>
      <c r="G14" s="97" t="str">
        <f>cal!G14</f>
        <v>Sens. cooling capacity * 8/12/25 [W]</v>
      </c>
      <c r="H14" s="98" t="str">
        <f>cal!H14</f>
        <v>Tot. cooling capacity 8/12/25 [W]</v>
      </c>
      <c r="I14" s="93" t="str">
        <f>cal!I14</f>
        <v>Water flowrate, cooling [l/h]</v>
      </c>
      <c r="J14" s="94" t="str">
        <f>cal!J14</f>
        <v>Watersided pressure loss [kPa]</v>
      </c>
      <c r="K14" s="99" t="str">
        <f>cal!K14</f>
        <v>Sound pressure *** [dB(A)]</v>
      </c>
      <c r="L14" s="100" t="str">
        <f>cal!L14</f>
        <v>Sound power ** [dB(A)]</v>
      </c>
      <c r="M14" s="101" t="str">
        <f>cal!M14</f>
        <v>Electrical power [W]</v>
      </c>
      <c r="N14" s="102" t="str">
        <f>cal!N14</f>
        <v>Air flowrate [m³/h]</v>
      </c>
    </row>
    <row r="15" spans="2:14" ht="18" customHeight="1" x14ac:dyDescent="0.35">
      <c r="B15" s="186" t="str">
        <f>cal!B15</f>
        <v>Clima Canal Height 10 cm Width 18 cm Length 72 cm (Type 1)</v>
      </c>
      <c r="C15" s="187">
        <f>cal!C15</f>
        <v>0</v>
      </c>
      <c r="D15" s="186">
        <f>cal!D15</f>
        <v>0</v>
      </c>
      <c r="E15" s="188">
        <f>cal!E15</f>
        <v>0</v>
      </c>
      <c r="F15" s="187">
        <f>cal!F15</f>
        <v>0</v>
      </c>
      <c r="G15" s="187">
        <f>cal!G15</f>
        <v>0</v>
      </c>
      <c r="H15" s="187">
        <f>cal!H15</f>
        <v>0</v>
      </c>
      <c r="I15" s="187">
        <f>cal!I15</f>
        <v>0</v>
      </c>
      <c r="J15" s="187">
        <f>cal!J15</f>
        <v>0</v>
      </c>
      <c r="K15" s="186">
        <f>cal!K15</f>
        <v>0</v>
      </c>
      <c r="L15" s="187">
        <f>cal!L15</f>
        <v>0</v>
      </c>
      <c r="M15" s="187">
        <f>cal!M15</f>
        <v>0</v>
      </c>
      <c r="N15" s="188">
        <f>cal!N15</f>
        <v>0</v>
      </c>
    </row>
    <row r="16" spans="2:14" ht="14.5" x14ac:dyDescent="0.35">
      <c r="B16" s="165">
        <f>cal!B16</f>
        <v>0.2</v>
      </c>
      <c r="C16" s="166">
        <f>cal!C16</f>
        <v>2</v>
      </c>
      <c r="D16" s="167">
        <f>cal!D16</f>
        <v>276</v>
      </c>
      <c r="E16" s="168">
        <f>cal!E16</f>
        <v>24</v>
      </c>
      <c r="F16" s="169">
        <f>cal!F16</f>
        <v>8.4318139307694717E-2</v>
      </c>
      <c r="G16" s="170">
        <f>cal!G16</f>
        <v>38.262735018773725</v>
      </c>
      <c r="H16" s="170">
        <f>cal!H16</f>
        <v>52.532157154173042</v>
      </c>
      <c r="I16" s="168">
        <f>cal!I16</f>
        <v>11</v>
      </c>
      <c r="J16" s="171">
        <f>cal!J16</f>
        <v>2.0327318681872993E-2</v>
      </c>
      <c r="K16" s="172">
        <f>cal!K16</f>
        <v>14</v>
      </c>
      <c r="L16" s="173">
        <f>cal!L16</f>
        <v>22</v>
      </c>
      <c r="M16" s="174">
        <f>cal!M16</f>
        <v>0.5</v>
      </c>
      <c r="N16" s="175">
        <f>cal!N16</f>
        <v>24</v>
      </c>
    </row>
    <row r="17" spans="2:14" ht="14.5" x14ac:dyDescent="0.35">
      <c r="B17" s="165">
        <f>cal!B17</f>
        <v>0.4</v>
      </c>
      <c r="C17" s="166">
        <f>cal!C17</f>
        <v>4</v>
      </c>
      <c r="D17" s="167">
        <f>cal!D17</f>
        <v>496</v>
      </c>
      <c r="E17" s="168">
        <f>cal!E17</f>
        <v>43</v>
      </c>
      <c r="F17" s="169">
        <f>cal!F17</f>
        <v>0.24419653125630486</v>
      </c>
      <c r="G17" s="170">
        <f>cal!G17</f>
        <v>86.953284575652233</v>
      </c>
      <c r="H17" s="170">
        <f>cal!H17</f>
        <v>118.36532844439886</v>
      </c>
      <c r="I17" s="168">
        <f>cal!I17</f>
        <v>25</v>
      </c>
      <c r="J17" s="171">
        <f>cal!J17</f>
        <v>9.0834263043628988E-2</v>
      </c>
      <c r="K17" s="172">
        <f>cal!K17</f>
        <v>15</v>
      </c>
      <c r="L17" s="173">
        <f>cal!L17</f>
        <v>23</v>
      </c>
      <c r="M17" s="174">
        <f>cal!M17</f>
        <v>0.8</v>
      </c>
      <c r="N17" s="175">
        <f>cal!N17</f>
        <v>37</v>
      </c>
    </row>
    <row r="18" spans="2:14" ht="14.5" x14ac:dyDescent="0.35">
      <c r="B18" s="165">
        <f>cal!B18</f>
        <v>0.6</v>
      </c>
      <c r="C18" s="166">
        <f>cal!C18</f>
        <v>6</v>
      </c>
      <c r="D18" s="167">
        <f>cal!D18</f>
        <v>699</v>
      </c>
      <c r="E18" s="168">
        <f>cal!E18</f>
        <v>60</v>
      </c>
      <c r="F18" s="169">
        <f>cal!F18</f>
        <v>0.44830215010840868</v>
      </c>
      <c r="G18" s="170">
        <f>cal!G18</f>
        <v>143.26675821503031</v>
      </c>
      <c r="H18" s="170">
        <f>cal!H18</f>
        <v>193.3769373286749</v>
      </c>
      <c r="I18" s="168">
        <f>cal!I18</f>
        <v>42</v>
      </c>
      <c r="J18" s="171">
        <f>cal!J18</f>
        <v>0.23394010669728807</v>
      </c>
      <c r="K18" s="172">
        <f>cal!K18</f>
        <v>23</v>
      </c>
      <c r="L18" s="173">
        <f>cal!L18</f>
        <v>31</v>
      </c>
      <c r="M18" s="174">
        <f>cal!M18</f>
        <v>1.3</v>
      </c>
      <c r="N18" s="175">
        <f>cal!N18</f>
        <v>52</v>
      </c>
    </row>
    <row r="19" spans="2:14" ht="14.5" x14ac:dyDescent="0.35">
      <c r="B19" s="165">
        <f>cal!B19</f>
        <v>0.8</v>
      </c>
      <c r="C19" s="166">
        <f>cal!C19</f>
        <v>8</v>
      </c>
      <c r="D19" s="167">
        <f>cal!D19</f>
        <v>891</v>
      </c>
      <c r="E19" s="168">
        <f>cal!E19</f>
        <v>77</v>
      </c>
      <c r="F19" s="169">
        <f>cal!F19</f>
        <v>0.70652826798106727</v>
      </c>
      <c r="G19" s="170">
        <f>cal!G19</f>
        <v>204.90940274587439</v>
      </c>
      <c r="H19" s="170">
        <f>cal!H19</f>
        <v>274.26650202266978</v>
      </c>
      <c r="I19" s="168">
        <f>cal!I19</f>
        <v>59</v>
      </c>
      <c r="J19" s="171">
        <f>cal!J19</f>
        <v>0.4347709780055431</v>
      </c>
      <c r="K19" s="172">
        <f>cal!K19</f>
        <v>28</v>
      </c>
      <c r="L19" s="173">
        <f>cal!L19</f>
        <v>36</v>
      </c>
      <c r="M19" s="174">
        <f>cal!M19</f>
        <v>2.1</v>
      </c>
      <c r="N19" s="175">
        <f>cal!N19</f>
        <v>68</v>
      </c>
    </row>
    <row r="20" spans="2:14" ht="14.5" x14ac:dyDescent="0.35">
      <c r="B20" s="165">
        <f>cal!B20</f>
        <v>1</v>
      </c>
      <c r="C20" s="166">
        <f>cal!C20</f>
        <v>10</v>
      </c>
      <c r="D20" s="167">
        <f>cal!D20</f>
        <v>1075</v>
      </c>
      <c r="E20" s="168">
        <f>cal!E20</f>
        <v>92</v>
      </c>
      <c r="F20" s="169">
        <f>cal!F20</f>
        <v>0.9774217817127987</v>
      </c>
      <c r="G20" s="170">
        <f>cal!G20</f>
        <v>267.55604902591546</v>
      </c>
      <c r="H20" s="170">
        <f>cal!H20</f>
        <v>355.14661873005377</v>
      </c>
      <c r="I20" s="168">
        <f>cal!I20</f>
        <v>76</v>
      </c>
      <c r="J20" s="171">
        <f>cal!J20</f>
        <v>0.68988579414284434</v>
      </c>
      <c r="K20" s="172">
        <f>cal!K20</f>
        <v>34</v>
      </c>
      <c r="L20" s="173">
        <f>cal!L20</f>
        <v>42</v>
      </c>
      <c r="M20" s="174">
        <f>cal!M20</f>
        <v>3</v>
      </c>
      <c r="N20" s="175">
        <f>cal!N20</f>
        <v>79</v>
      </c>
    </row>
    <row r="21" spans="2:14" ht="16.899999999999999" customHeight="1" x14ac:dyDescent="0.35">
      <c r="B21" s="186" t="str">
        <f>cal!B21</f>
        <v>Clima Canal Height 10 cm Width 18 cm Length 108 cm (Type 2)</v>
      </c>
      <c r="C21" s="187">
        <f>cal!C21</f>
        <v>0</v>
      </c>
      <c r="D21" s="186">
        <f>cal!D21</f>
        <v>0</v>
      </c>
      <c r="E21" s="188">
        <f>cal!E21</f>
        <v>0</v>
      </c>
      <c r="F21" s="187">
        <f>cal!F21</f>
        <v>0</v>
      </c>
      <c r="G21" s="187">
        <f>cal!G21</f>
        <v>0</v>
      </c>
      <c r="H21" s="187">
        <f>cal!H21</f>
        <v>0</v>
      </c>
      <c r="I21" s="187">
        <f>cal!I21</f>
        <v>0</v>
      </c>
      <c r="J21" s="187">
        <f>cal!J21</f>
        <v>0</v>
      </c>
      <c r="K21" s="186">
        <f>cal!K21</f>
        <v>0</v>
      </c>
      <c r="L21" s="187">
        <f>cal!L21</f>
        <v>0</v>
      </c>
      <c r="M21" s="187">
        <f>cal!M21</f>
        <v>0</v>
      </c>
      <c r="N21" s="188">
        <f>cal!N21</f>
        <v>0</v>
      </c>
    </row>
    <row r="22" spans="2:14" ht="14.5" x14ac:dyDescent="0.35">
      <c r="B22" s="165">
        <f>cal!B22</f>
        <v>0.2</v>
      </c>
      <c r="C22" s="166">
        <f>cal!C22</f>
        <v>2</v>
      </c>
      <c r="D22" s="167">
        <f>cal!D22</f>
        <v>569</v>
      </c>
      <c r="E22" s="168">
        <f>cal!E22</f>
        <v>49</v>
      </c>
      <c r="F22" s="169">
        <f>cal!F22</f>
        <v>0.48567600760441176</v>
      </c>
      <c r="G22" s="170">
        <f>cal!G22</f>
        <v>79.076319038799028</v>
      </c>
      <c r="H22" s="170">
        <f>cal!H22</f>
        <v>108.56645811862428</v>
      </c>
      <c r="I22" s="168">
        <f>cal!I22</f>
        <v>23</v>
      </c>
      <c r="J22" s="171">
        <f>cal!J22</f>
        <v>0.122286830202021</v>
      </c>
      <c r="K22" s="172">
        <f>cal!K22</f>
        <v>15</v>
      </c>
      <c r="L22" s="173">
        <f>cal!L22</f>
        <v>23</v>
      </c>
      <c r="M22" s="174">
        <f>cal!M22</f>
        <v>0.6</v>
      </c>
      <c r="N22" s="175">
        <f>cal!N22</f>
        <v>42</v>
      </c>
    </row>
    <row r="23" spans="2:14" ht="14.5" x14ac:dyDescent="0.35">
      <c r="B23" s="165">
        <f>cal!B23</f>
        <v>0.4</v>
      </c>
      <c r="C23" s="166">
        <f>cal!C23</f>
        <v>4</v>
      </c>
      <c r="D23" s="167">
        <f>cal!D23</f>
        <v>1021</v>
      </c>
      <c r="E23" s="168">
        <f>cal!E23</f>
        <v>88</v>
      </c>
      <c r="F23" s="169">
        <f>cal!F23</f>
        <v>1.4126748504924624</v>
      </c>
      <c r="G23" s="170">
        <f>cal!G23</f>
        <v>177.85899117747047</v>
      </c>
      <c r="H23" s="170">
        <f>cal!H23</f>
        <v>242.11089909081582</v>
      </c>
      <c r="I23" s="168">
        <f>cal!I23</f>
        <v>52</v>
      </c>
      <c r="J23" s="171">
        <f>cal!J23</f>
        <v>0.54126082758914029</v>
      </c>
      <c r="K23" s="172">
        <f>cal!K23</f>
        <v>19</v>
      </c>
      <c r="L23" s="173">
        <f>cal!L23</f>
        <v>27</v>
      </c>
      <c r="M23" s="174">
        <f>cal!M23</f>
        <v>1.3</v>
      </c>
      <c r="N23" s="175">
        <f>cal!N23</f>
        <v>75</v>
      </c>
    </row>
    <row r="24" spans="2:14" ht="14.5" x14ac:dyDescent="0.35">
      <c r="B24" s="165">
        <f>cal!B24</f>
        <v>0.6</v>
      </c>
      <c r="C24" s="166">
        <f>cal!C24</f>
        <v>6</v>
      </c>
      <c r="D24" s="167">
        <f>cal!D24</f>
        <v>1438</v>
      </c>
      <c r="E24" s="168">
        <f>cal!E24</f>
        <v>124</v>
      </c>
      <c r="F24" s="169">
        <f>cal!F24</f>
        <v>2.6401878310136357</v>
      </c>
      <c r="G24" s="170">
        <f>cal!G24</f>
        <v>294.79890632708162</v>
      </c>
      <c r="H24" s="170">
        <f>cal!H24</f>
        <v>397.91023642631183</v>
      </c>
      <c r="I24" s="168">
        <f>cal!I24</f>
        <v>86</v>
      </c>
      <c r="J24" s="171">
        <f>cal!J24</f>
        <v>1.3546772303429622</v>
      </c>
      <c r="K24" s="172">
        <f>cal!K24</f>
        <v>29</v>
      </c>
      <c r="L24" s="173">
        <f>cal!L24</f>
        <v>37</v>
      </c>
      <c r="M24" s="174">
        <f>cal!M24</f>
        <v>2.7</v>
      </c>
      <c r="N24" s="175">
        <f>cal!N24</f>
        <v>98</v>
      </c>
    </row>
    <row r="25" spans="2:14" ht="14.5" x14ac:dyDescent="0.35">
      <c r="B25" s="165">
        <f>cal!B25</f>
        <v>0.8</v>
      </c>
      <c r="C25" s="166">
        <f>cal!C25</f>
        <v>8</v>
      </c>
      <c r="D25" s="167">
        <f>cal!D25</f>
        <v>1834</v>
      </c>
      <c r="E25" s="168">
        <f>cal!E25</f>
        <v>158</v>
      </c>
      <c r="F25" s="169">
        <f>cal!F25</f>
        <v>4.1070805473258662</v>
      </c>
      <c r="G25" s="170">
        <f>cal!G25</f>
        <v>421.20266119985291</v>
      </c>
      <c r="H25" s="170">
        <f>cal!H25</f>
        <v>563.77003193548785</v>
      </c>
      <c r="I25" s="168">
        <f>cal!I25</f>
        <v>121</v>
      </c>
      <c r="J25" s="171">
        <f>cal!J25</f>
        <v>2.5248718426825989</v>
      </c>
      <c r="K25" s="172">
        <f>cal!K25</f>
        <v>32</v>
      </c>
      <c r="L25" s="173">
        <f>cal!L25</f>
        <v>40</v>
      </c>
      <c r="M25" s="174">
        <f>cal!M25</f>
        <v>4.5999999999999996</v>
      </c>
      <c r="N25" s="175">
        <f>cal!N25</f>
        <v>125</v>
      </c>
    </row>
    <row r="26" spans="2:14" ht="14.5" x14ac:dyDescent="0.35">
      <c r="B26" s="165">
        <f>cal!B26</f>
        <v>1</v>
      </c>
      <c r="C26" s="166">
        <f>cal!C26</f>
        <v>10</v>
      </c>
      <c r="D26" s="167">
        <f>cal!D26</f>
        <v>2214</v>
      </c>
      <c r="E26" s="168">
        <f>cal!E26</f>
        <v>190</v>
      </c>
      <c r="F26" s="169">
        <f>cal!F26</f>
        <v>5.7489755523942216</v>
      </c>
      <c r="G26" s="170">
        <f>cal!G26</f>
        <v>551.02083610202044</v>
      </c>
      <c r="H26" s="170">
        <f>cal!H26</f>
        <v>731.41006343865126</v>
      </c>
      <c r="I26" s="168">
        <f>cal!I26</f>
        <v>157</v>
      </c>
      <c r="J26" s="171">
        <f>cal!J26</f>
        <v>4.0598033292287363</v>
      </c>
      <c r="K26" s="172">
        <f>cal!K26</f>
        <v>37</v>
      </c>
      <c r="L26" s="173">
        <f>cal!L26</f>
        <v>45</v>
      </c>
      <c r="M26" s="174">
        <f>cal!M26</f>
        <v>7.1</v>
      </c>
      <c r="N26" s="175">
        <f>cal!N26</f>
        <v>160</v>
      </c>
    </row>
    <row r="27" spans="2:14" ht="18" customHeight="1" x14ac:dyDescent="0.35">
      <c r="B27" s="186" t="str">
        <f>cal!B27</f>
        <v>Clima Canal Height 10 cm Width 18 cm Length 144 cm (Type 3)</v>
      </c>
      <c r="C27" s="187">
        <f>cal!C27</f>
        <v>0</v>
      </c>
      <c r="D27" s="186">
        <f>cal!D27</f>
        <v>0</v>
      </c>
      <c r="E27" s="188">
        <f>cal!E27</f>
        <v>0</v>
      </c>
      <c r="F27" s="187">
        <f>cal!F27</f>
        <v>0</v>
      </c>
      <c r="G27" s="187">
        <f>cal!G27</f>
        <v>0</v>
      </c>
      <c r="H27" s="187">
        <f>cal!H27</f>
        <v>0</v>
      </c>
      <c r="I27" s="187">
        <f>cal!I27</f>
        <v>0</v>
      </c>
      <c r="J27" s="187">
        <f>cal!J27</f>
        <v>0</v>
      </c>
      <c r="K27" s="186">
        <f>cal!K27</f>
        <v>0</v>
      </c>
      <c r="L27" s="187">
        <f>cal!L27</f>
        <v>0</v>
      </c>
      <c r="M27" s="187">
        <f>cal!M27</f>
        <v>0</v>
      </c>
      <c r="N27" s="188">
        <f>cal!N27</f>
        <v>0</v>
      </c>
    </row>
    <row r="28" spans="2:14" ht="14.5" x14ac:dyDescent="0.35">
      <c r="B28" s="165">
        <f>cal!B28</f>
        <v>0.2</v>
      </c>
      <c r="C28" s="166">
        <f>cal!C28</f>
        <v>2</v>
      </c>
      <c r="D28" s="167">
        <f>cal!D28</f>
        <v>894</v>
      </c>
      <c r="E28" s="168">
        <f>cal!E28</f>
        <v>77</v>
      </c>
      <c r="F28" s="169">
        <f>cal!F28</f>
        <v>1.5440367777303732</v>
      </c>
      <c r="G28" s="170">
        <f>cal!G28</f>
        <v>123.7161765607017</v>
      </c>
      <c r="H28" s="170">
        <f>cal!H28</f>
        <v>169.85397479849283</v>
      </c>
      <c r="I28" s="168">
        <f>cal!I28</f>
        <v>37</v>
      </c>
      <c r="J28" s="171">
        <f>cal!J28</f>
        <v>0.40574454218717504</v>
      </c>
      <c r="K28" s="172">
        <f>cal!K28</f>
        <v>16</v>
      </c>
      <c r="L28" s="173">
        <f>cal!L28</f>
        <v>24</v>
      </c>
      <c r="M28" s="174">
        <f>cal!M28</f>
        <v>1.1000000000000001</v>
      </c>
      <c r="N28" s="175">
        <f>cal!N28</f>
        <v>66</v>
      </c>
    </row>
    <row r="29" spans="2:14" ht="14.5" x14ac:dyDescent="0.35">
      <c r="B29" s="165">
        <f>cal!B29</f>
        <v>0.4</v>
      </c>
      <c r="C29" s="166">
        <f>cal!C29</f>
        <v>4</v>
      </c>
      <c r="D29" s="167">
        <f>cal!D29</f>
        <v>1605</v>
      </c>
      <c r="E29" s="168">
        <f>cal!E29</f>
        <v>138</v>
      </c>
      <c r="F29" s="169">
        <f>cal!F29</f>
        <v>4.474198690624589</v>
      </c>
      <c r="G29" s="170">
        <f>cal!G29</f>
        <v>279.30448984906474</v>
      </c>
      <c r="H29" s="170">
        <f>cal!H29</f>
        <v>380.20378227594784</v>
      </c>
      <c r="I29" s="168">
        <f>cal!I29</f>
        <v>82</v>
      </c>
      <c r="J29" s="171">
        <f>cal!J29</f>
        <v>1.7317364132741835</v>
      </c>
      <c r="K29" s="172">
        <f>cal!K29</f>
        <v>20</v>
      </c>
      <c r="L29" s="173">
        <f>cal!L29</f>
        <v>28</v>
      </c>
      <c r="M29" s="174">
        <f>cal!M29</f>
        <v>2.1</v>
      </c>
      <c r="N29" s="175">
        <f>cal!N29</f>
        <v>112</v>
      </c>
    </row>
    <row r="30" spans="2:14" ht="14.5" x14ac:dyDescent="0.35">
      <c r="B30" s="165">
        <f>cal!B30</f>
        <v>0.6</v>
      </c>
      <c r="C30" s="166">
        <f>cal!C30</f>
        <v>6</v>
      </c>
      <c r="D30" s="167">
        <f>cal!D30</f>
        <v>2260</v>
      </c>
      <c r="E30" s="168">
        <f>cal!E30</f>
        <v>194</v>
      </c>
      <c r="F30" s="169">
        <f>cal!F30</f>
        <v>8.3263471164262164</v>
      </c>
      <c r="G30" s="170">
        <f>cal!G30</f>
        <v>462.86183423317487</v>
      </c>
      <c r="H30" s="170">
        <f>cal!H30</f>
        <v>624.75625906187281</v>
      </c>
      <c r="I30" s="168">
        <f>cal!I30</f>
        <v>134</v>
      </c>
      <c r="J30" s="171">
        <f>cal!J30</f>
        <v>4.240539891601208</v>
      </c>
      <c r="K30" s="172">
        <f>cal!K30</f>
        <v>30</v>
      </c>
      <c r="L30" s="173">
        <f>cal!L30</f>
        <v>38</v>
      </c>
      <c r="M30" s="174">
        <f>cal!M30</f>
        <v>4</v>
      </c>
      <c r="N30" s="175">
        <f>cal!N30</f>
        <v>150</v>
      </c>
    </row>
    <row r="31" spans="2:14" ht="14.5" x14ac:dyDescent="0.35">
      <c r="B31" s="165">
        <f>cal!B31</f>
        <v>0.8</v>
      </c>
      <c r="C31" s="166">
        <f>cal!C31</f>
        <v>8</v>
      </c>
      <c r="D31" s="167">
        <f>cal!D31</f>
        <v>2881</v>
      </c>
      <c r="E31" s="168">
        <f>cal!E31</f>
        <v>248</v>
      </c>
      <c r="F31" s="169">
        <f>cal!F31</f>
        <v>13.029638294461293</v>
      </c>
      <c r="G31" s="170">
        <f>cal!G31</f>
        <v>661.6866130335527</v>
      </c>
      <c r="H31" s="170">
        <f>cal!H31</f>
        <v>885.6522461148711</v>
      </c>
      <c r="I31" s="168">
        <f>cal!I31</f>
        <v>190</v>
      </c>
      <c r="J31" s="171">
        <f>cal!J31</f>
        <v>8.0159520008002669</v>
      </c>
      <c r="K31" s="172">
        <f>cal!K31</f>
        <v>35</v>
      </c>
      <c r="L31" s="173">
        <f>cal!L31</f>
        <v>43</v>
      </c>
      <c r="M31" s="174">
        <f>cal!M31</f>
        <v>6.6</v>
      </c>
      <c r="N31" s="175">
        <f>cal!N31</f>
        <v>193</v>
      </c>
    </row>
    <row r="32" spans="2:14" ht="14.5" x14ac:dyDescent="0.35">
      <c r="B32" s="165">
        <f>cal!B32</f>
        <v>1</v>
      </c>
      <c r="C32" s="166">
        <f>cal!C32</f>
        <v>10</v>
      </c>
      <c r="D32" s="167">
        <f>cal!D32</f>
        <v>3479</v>
      </c>
      <c r="E32" s="168">
        <f>cal!E32</f>
        <v>299</v>
      </c>
      <c r="F32" s="169">
        <f>cal!F32</f>
        <v>18.324722113909107</v>
      </c>
      <c r="G32" s="170">
        <f>cal!G32</f>
        <v>864.85685036485097</v>
      </c>
      <c r="H32" s="170">
        <f>cal!H32</f>
        <v>1147.9874486517413</v>
      </c>
      <c r="I32" s="168">
        <f>cal!I32</f>
        <v>247</v>
      </c>
      <c r="J32" s="171">
        <f>cal!J32</f>
        <v>12.933991961840464</v>
      </c>
      <c r="K32" s="172">
        <f>cal!K32</f>
        <v>39</v>
      </c>
      <c r="L32" s="173">
        <f>cal!L32</f>
        <v>47</v>
      </c>
      <c r="M32" s="174">
        <f>cal!M32</f>
        <v>10.1</v>
      </c>
      <c r="N32" s="175">
        <f>cal!N32</f>
        <v>239</v>
      </c>
    </row>
    <row r="33" spans="2:14" ht="16.899999999999999" customHeight="1" x14ac:dyDescent="0.35">
      <c r="B33" s="186" t="str">
        <f>cal!B33</f>
        <v>Clima Canal Height 10 cm Width 18 cm Length 180 cm (Type 4)</v>
      </c>
      <c r="C33" s="187">
        <f>cal!C33</f>
        <v>0</v>
      </c>
      <c r="D33" s="186">
        <f>cal!D33</f>
        <v>0</v>
      </c>
      <c r="E33" s="188">
        <f>cal!E33</f>
        <v>0</v>
      </c>
      <c r="F33" s="187">
        <f>cal!F33</f>
        <v>0</v>
      </c>
      <c r="G33" s="187">
        <f>cal!G33</f>
        <v>0</v>
      </c>
      <c r="H33" s="187">
        <f>cal!H33</f>
        <v>0</v>
      </c>
      <c r="I33" s="187">
        <f>cal!I33</f>
        <v>0</v>
      </c>
      <c r="J33" s="187">
        <f>cal!J33</f>
        <v>0</v>
      </c>
      <c r="K33" s="186">
        <f>cal!K33</f>
        <v>0</v>
      </c>
      <c r="L33" s="187">
        <f>cal!L33</f>
        <v>0</v>
      </c>
      <c r="M33" s="187">
        <f>cal!M33</f>
        <v>0</v>
      </c>
      <c r="N33" s="188">
        <f>cal!N33</f>
        <v>0</v>
      </c>
    </row>
    <row r="34" spans="2:14" ht="14.5" x14ac:dyDescent="0.35">
      <c r="B34" s="165">
        <f>cal!B34</f>
        <v>0.2</v>
      </c>
      <c r="C34" s="166">
        <f>cal!C34</f>
        <v>2</v>
      </c>
      <c r="D34" s="167">
        <f>cal!D34</f>
        <v>1219</v>
      </c>
      <c r="E34" s="168">
        <f>cal!E34</f>
        <v>105</v>
      </c>
      <c r="F34" s="169">
        <f>cal!F34</f>
        <v>3.587900799418914</v>
      </c>
      <c r="G34" s="170">
        <f>cal!G34</f>
        <v>168.35603408260437</v>
      </c>
      <c r="H34" s="170">
        <f>cal!H34</f>
        <v>231.14149147836136</v>
      </c>
      <c r="I34" s="168">
        <f>cal!I34</f>
        <v>50</v>
      </c>
      <c r="J34" s="171">
        <f>cal!J34</f>
        <v>0.92740305292269809</v>
      </c>
      <c r="K34" s="172">
        <f>cal!K34</f>
        <v>18</v>
      </c>
      <c r="L34" s="173">
        <f>cal!L34</f>
        <v>26</v>
      </c>
      <c r="M34" s="174">
        <f>cal!M34</f>
        <v>1.2</v>
      </c>
      <c r="N34" s="175">
        <f>cal!N34</f>
        <v>84</v>
      </c>
    </row>
    <row r="35" spans="2:14" ht="14.5" x14ac:dyDescent="0.35">
      <c r="B35" s="165">
        <f>cal!B35</f>
        <v>0.4</v>
      </c>
      <c r="C35" s="166">
        <f>cal!C35</f>
        <v>4</v>
      </c>
      <c r="D35" s="167">
        <f>cal!D35</f>
        <v>2188</v>
      </c>
      <c r="E35" s="168">
        <f>cal!E35</f>
        <v>188</v>
      </c>
      <c r="F35" s="169">
        <f>cal!F35</f>
        <v>10.378450555647397</v>
      </c>
      <c r="G35" s="170">
        <f>cal!G35</f>
        <v>382.06746252938103</v>
      </c>
      <c r="H35" s="170">
        <f>cal!H35</f>
        <v>520.09007952841921</v>
      </c>
      <c r="I35" s="168">
        <f>cal!I35</f>
        <v>112</v>
      </c>
      <c r="J35" s="171">
        <f>cal!J35</f>
        <v>4.0360007771727187</v>
      </c>
      <c r="K35" s="172">
        <f>cal!K35</f>
        <v>22</v>
      </c>
      <c r="L35" s="173">
        <f>cal!L35</f>
        <v>30</v>
      </c>
      <c r="M35" s="174">
        <f>cal!M35</f>
        <v>2.5</v>
      </c>
      <c r="N35" s="175">
        <f>cal!N35</f>
        <v>150</v>
      </c>
    </row>
    <row r="36" spans="2:14" ht="14.5" x14ac:dyDescent="0.35">
      <c r="B36" s="165">
        <f>cal!B36</f>
        <v>0.6</v>
      </c>
      <c r="C36" s="166">
        <f>cal!C36</f>
        <v>6</v>
      </c>
      <c r="D36" s="167">
        <f>cal!D36</f>
        <v>3082</v>
      </c>
      <c r="E36" s="168">
        <f>cal!E36</f>
        <v>265</v>
      </c>
      <c r="F36" s="169">
        <f>cal!F36</f>
        <v>19.408718319542864</v>
      </c>
      <c r="G36" s="170">
        <f>cal!G36</f>
        <v>630.92476213926807</v>
      </c>
      <c r="H36" s="170">
        <f>cal!H36</f>
        <v>851.60228169743357</v>
      </c>
      <c r="I36" s="168">
        <f>cal!I36</f>
        <v>183</v>
      </c>
      <c r="J36" s="171">
        <f>cal!J36</f>
        <v>9.8806396827864127</v>
      </c>
      <c r="K36" s="172">
        <f>cal!K36</f>
        <v>32</v>
      </c>
      <c r="L36" s="173">
        <f>cal!L36</f>
        <v>40</v>
      </c>
      <c r="M36" s="174">
        <f>cal!M36</f>
        <v>5.4</v>
      </c>
      <c r="N36" s="175">
        <f>cal!N36</f>
        <v>196</v>
      </c>
    </row>
    <row r="37" spans="2:14" ht="14.5" x14ac:dyDescent="0.35">
      <c r="B37" s="165">
        <f>cal!B37</f>
        <v>0.8</v>
      </c>
      <c r="C37" s="166">
        <f>cal!C37</f>
        <v>8</v>
      </c>
      <c r="D37" s="167">
        <f>cal!D37</f>
        <v>3929</v>
      </c>
      <c r="E37" s="168">
        <f>cal!E37</f>
        <v>338</v>
      </c>
      <c r="F37" s="169">
        <f>cal!F37</f>
        <v>30.247484009928744</v>
      </c>
      <c r="G37" s="170">
        <f>cal!G37</f>
        <v>902.17056486725244</v>
      </c>
      <c r="H37" s="170">
        <f>cal!H37</f>
        <v>1207.5344602942544</v>
      </c>
      <c r="I37" s="168">
        <f>cal!I37</f>
        <v>260</v>
      </c>
      <c r="J37" s="171">
        <f>cal!J37</f>
        <v>18.746136589840649</v>
      </c>
      <c r="K37" s="172">
        <f>cal!K37</f>
        <v>37</v>
      </c>
      <c r="L37" s="173">
        <f>cal!L37</f>
        <v>45</v>
      </c>
      <c r="M37" s="174">
        <f>cal!M37</f>
        <v>9.1</v>
      </c>
      <c r="N37" s="175">
        <f>cal!N37</f>
        <v>250</v>
      </c>
    </row>
    <row r="38" spans="2:14" ht="14.5" x14ac:dyDescent="0.35">
      <c r="B38" s="176">
        <f>cal!B38</f>
        <v>1</v>
      </c>
      <c r="C38" s="177">
        <f>cal!C38</f>
        <v>10</v>
      </c>
      <c r="D38" s="178">
        <f>cal!D38</f>
        <v>4744</v>
      </c>
      <c r="E38" s="179">
        <f>cal!E38</f>
        <v>408</v>
      </c>
      <c r="F38" s="180">
        <f>cal!F38</f>
        <v>42.633376963350159</v>
      </c>
      <c r="G38" s="181">
        <f>cal!G38</f>
        <v>1180.1391135413351</v>
      </c>
      <c r="H38" s="181">
        <f>cal!H38</f>
        <v>1566.4845453174262</v>
      </c>
      <c r="I38" s="179">
        <f>cal!I38</f>
        <v>337</v>
      </c>
      <c r="J38" s="182">
        <f>cal!J38</f>
        <v>30.084497164324798</v>
      </c>
      <c r="K38" s="183">
        <f>cal!K38</f>
        <v>41</v>
      </c>
      <c r="L38" s="184">
        <f>cal!L38</f>
        <v>49</v>
      </c>
      <c r="M38" s="174">
        <f>cal!M38</f>
        <v>14.1</v>
      </c>
      <c r="N38" s="185">
        <f>cal!N38</f>
        <v>320</v>
      </c>
    </row>
    <row r="39" spans="2:14" ht="9.4" customHeight="1" x14ac:dyDescent="0.35">
      <c r="B39" s="85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86"/>
      <c r="N39" s="87" t="s">
        <v>79</v>
      </c>
    </row>
    <row r="40" spans="2:14" ht="9.4" customHeight="1" x14ac:dyDescent="0.35">
      <c r="B40" s="85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</row>
    <row r="41" spans="2:14" ht="9" customHeight="1" x14ac:dyDescent="0.35">
      <c r="B41" s="85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2:14" ht="0" hidden="1" customHeight="1" x14ac:dyDescent="0.35"/>
    <row r="43" spans="2:14" ht="0" hidden="1" customHeight="1" x14ac:dyDescent="0.35"/>
    <row r="44" spans="2:14" ht="0" hidden="1" customHeight="1" x14ac:dyDescent="0.35"/>
    <row r="45" spans="2:14" ht="0" hidden="1" customHeight="1" x14ac:dyDescent="0.35"/>
    <row r="46" spans="2:14" ht="0" hidden="1" customHeight="1" x14ac:dyDescent="0.35"/>
    <row r="47" spans="2:14" ht="0" hidden="1" customHeight="1" x14ac:dyDescent="0.35"/>
  </sheetData>
  <sheetProtection algorithmName="SHA-512" hashValue="Lf4SBS1o1oMOdyMQ3GphtrDGP//3+JzXR9kih9R4IUhqqsAyDHEew+NsGwKOgen71EsW1GnrVa8s2JBJMPW54w==" saltValue="1ytlcxEnTB6cH3fYX9AFSA==" spinCount="100000" sheet="1" selectLockedCells="1"/>
  <dataConsolidate/>
  <mergeCells count="12">
    <mergeCell ref="G2:J2"/>
    <mergeCell ref="G4:J4"/>
    <mergeCell ref="B8:D8"/>
    <mergeCell ref="G8:J8"/>
    <mergeCell ref="B9:D9"/>
    <mergeCell ref="G9:J9"/>
    <mergeCell ref="B21:N21"/>
    <mergeCell ref="B27:N27"/>
    <mergeCell ref="B33:N33"/>
    <mergeCell ref="B10:D10"/>
    <mergeCell ref="G10:J10"/>
    <mergeCell ref="B15:N15"/>
  </mergeCells>
  <dataValidations count="5">
    <dataValidation allowBlank="1" showInputMessage="1" sqref="E8:E10" xr:uid="{00000000-0002-0000-0000-000000000000}"/>
    <dataValidation type="decimal" errorStyle="information" allowBlank="1" prompt="20°C bis 35°C" sqref="K11" xr:uid="{00000000-0002-0000-0000-000001000000}">
      <formula1>0.3</formula1>
      <formula2>0.8</formula2>
    </dataValidation>
    <dataValidation type="whole" errorStyle="information" allowBlank="1" prompt="Eingabe zwischen 5°C bis 20°C" sqref="K8" xr:uid="{00000000-0002-0000-0000-000002000000}">
      <formula1>5</formula1>
      <formula2>20</formula2>
    </dataValidation>
    <dataValidation type="whole" errorStyle="information" allowBlank="1" error="Eingabe außerhalb des gültigen Bereichs." prompt="Eingabe zwischen Vorlauftemp. und Raumtemp." sqref="K9" xr:uid="{00000000-0002-0000-0000-000003000000}">
      <formula1>K8</formula1>
      <formula2>K10</formula2>
    </dataValidation>
    <dataValidation type="whole" errorStyle="information" allowBlank="1" error="Eingabe außerhalb des gültigen Bereichs." prompt="20°C bis 35°C" sqref="K10" xr:uid="{00000000-0002-0000-0000-000004000000}">
      <formula1>20</formula1>
      <formula2>35</formula2>
    </dataValidation>
  </dataValidations>
  <pageMargins left="0.5" right="0.47222222222222221" top="1.0555555555555556" bottom="0.81944444444444442" header="0.43055555555555558" footer="0.40277777777777779"/>
  <pageSetup paperSize="9" scale="92" orientation="portrait" r:id="rId1"/>
  <ignoredErrors>
    <ignoredError sqref="B16:N20 B22:N26 B28:N32 B34:N38" unlockedFormula="1"/>
  </ignoredErrors>
  <drawing r:id="rId2"/>
  <legacyDrawing r:id="rId3"/>
  <controls>
    <mc:AlternateContent xmlns:mc="http://schemas.openxmlformats.org/markup-compatibility/2006">
      <mc:Choice Requires="x14">
        <control shapeId="2051" r:id="rId4" name="rbtnSI">
          <controlPr defaultSize="0" autoFill="0" autoLine="0" autoPict="0" r:id="rId5">
            <anchor moveWithCells="1">
              <from>
                <xdr:col>12</xdr:col>
                <xdr:colOff>38100</xdr:colOff>
                <xdr:row>8</xdr:row>
                <xdr:rowOff>38100</xdr:rowOff>
              </from>
              <to>
                <xdr:col>13</xdr:col>
                <xdr:colOff>273050</xdr:colOff>
                <xdr:row>9</xdr:row>
                <xdr:rowOff>158750</xdr:rowOff>
              </to>
            </anchor>
          </controlPr>
        </control>
      </mc:Choice>
      <mc:Fallback>
        <control shapeId="2051" r:id="rId4" name="rbtnSI"/>
      </mc:Fallback>
    </mc:AlternateContent>
    <mc:AlternateContent xmlns:mc="http://schemas.openxmlformats.org/markup-compatibility/2006">
      <mc:Choice Requires="x14">
        <control shapeId="2052" r:id="rId6" name="rbtnImperial">
          <controlPr defaultSize="0" autoFill="0" autoLine="0" autoPict="0" r:id="rId7">
            <anchor moveWithCells="1">
              <from>
                <xdr:col>12</xdr:col>
                <xdr:colOff>38100</xdr:colOff>
                <xdr:row>9</xdr:row>
                <xdr:rowOff>114300</xdr:rowOff>
              </from>
              <to>
                <xdr:col>13</xdr:col>
                <xdr:colOff>444500</xdr:colOff>
                <xdr:row>11</xdr:row>
                <xdr:rowOff>50800</xdr:rowOff>
              </to>
            </anchor>
          </controlPr>
        </control>
      </mc:Choice>
      <mc:Fallback>
        <control shapeId="2052" r:id="rId6" name="rbtnImperial"/>
      </mc:Fallback>
    </mc:AlternateContent>
    <mc:AlternateContent xmlns:mc="http://schemas.openxmlformats.org/markup-compatibility/2006">
      <mc:Choice Requires="x14">
        <control shapeId="2049" r:id="rId8" name="Drop Down 1">
          <controlPr locked="0" defaultSize="0" autoLine="0" autoPict="0">
            <anchor moveWithCells="1">
              <from>
                <xdr:col>10</xdr:col>
                <xdr:colOff>38100</xdr:colOff>
                <xdr:row>1</xdr:row>
                <xdr:rowOff>0</xdr:rowOff>
              </from>
              <to>
                <xdr:col>13</xdr:col>
                <xdr:colOff>190500</xdr:colOff>
                <xdr:row>2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050" r:id="rId9" name="Drop Down 2">
          <controlPr locked="0" defaultSize="0" autoLine="0" autoPict="0">
            <anchor moveWithCells="1">
              <from>
                <xdr:col>10</xdr:col>
                <xdr:colOff>50800</xdr:colOff>
                <xdr:row>2</xdr:row>
                <xdr:rowOff>184150</xdr:rowOff>
              </from>
              <to>
                <xdr:col>13</xdr:col>
                <xdr:colOff>203200</xdr:colOff>
                <xdr:row>3</xdr:row>
                <xdr:rowOff>184150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pageSetUpPr fitToPage="1"/>
  </sheetPr>
  <dimension ref="B1:AO41"/>
  <sheetViews>
    <sheetView zoomScaleNormal="100" workbookViewId="0">
      <pane ySplit="14" topLeftCell="A15" activePane="bottomLeft" state="frozen"/>
      <selection pane="bottomLeft" activeCell="P10" sqref="P10"/>
    </sheetView>
  </sheetViews>
  <sheetFormatPr defaultColWidth="9.1796875" defaultRowHeight="0" customHeight="1" zeroHeight="1" x14ac:dyDescent="0.35"/>
  <cols>
    <col min="1" max="1" width="2" style="89" customWidth="1"/>
    <col min="2" max="2" width="7" style="89" customWidth="1"/>
    <col min="3" max="3" width="6.1796875" style="89" customWidth="1"/>
    <col min="4" max="4" width="7.26953125" style="89" customWidth="1"/>
    <col min="5" max="5" width="7.1796875" style="89" customWidth="1"/>
    <col min="6" max="6" width="7.54296875" style="89" customWidth="1"/>
    <col min="7" max="7" width="9.453125" style="89" customWidth="1"/>
    <col min="8" max="8" width="8.54296875" style="89" customWidth="1"/>
    <col min="9" max="9" width="7.7265625" style="89" customWidth="1"/>
    <col min="10" max="10" width="7" style="89" customWidth="1"/>
    <col min="11" max="11" width="7.81640625" style="89" customWidth="1"/>
    <col min="12" max="12" width="8.1796875" style="89" customWidth="1"/>
    <col min="13" max="13" width="7.7265625" style="89" customWidth="1"/>
    <col min="14" max="14" width="7" style="89" customWidth="1"/>
    <col min="15" max="16" width="2" style="89" customWidth="1"/>
    <col min="17" max="17" width="7.7265625" style="89" customWidth="1"/>
    <col min="18" max="18" width="1.7265625" style="89" customWidth="1"/>
    <col min="19" max="19" width="1.1796875" style="89" customWidth="1"/>
    <col min="20" max="20" width="2" style="89" customWidth="1"/>
    <col min="21" max="27" width="5.7265625" style="89" customWidth="1"/>
    <col min="28" max="41" width="3.453125" style="89" customWidth="1"/>
    <col min="42" max="42" width="3.1796875" style="89" customWidth="1"/>
    <col min="43" max="16384" width="9.1796875" style="89"/>
  </cols>
  <sheetData>
    <row r="1" spans="2:41" s="51" customFormat="1" ht="14.5" x14ac:dyDescent="0.35"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Q1" s="51" t="s">
        <v>37</v>
      </c>
      <c r="U1" s="106"/>
      <c r="V1" s="106" t="s">
        <v>73</v>
      </c>
    </row>
    <row r="2" spans="2:41" s="51" customFormat="1" ht="14.5" x14ac:dyDescent="0.35">
      <c r="B2" s="54" t="str">
        <f>IF($Q$5=1,NL!A2,IF(cal!$Q$5=2,EN!A2,IF(cal!$Q$5=3,DE!A2,IF(cal!$Q$5=4,FR!A2,))))</f>
        <v>Formulary</v>
      </c>
      <c r="C2" s="153"/>
      <c r="D2" s="53"/>
      <c r="E2" s="53"/>
      <c r="F2" s="53"/>
      <c r="G2" s="200"/>
      <c r="H2" s="200"/>
      <c r="I2" s="200"/>
      <c r="J2" s="200"/>
      <c r="K2" s="53"/>
      <c r="L2" s="53"/>
      <c r="M2" s="53"/>
      <c r="N2" s="53"/>
      <c r="O2" s="53"/>
      <c r="Q2" s="51" t="s">
        <v>36</v>
      </c>
      <c r="U2" s="106"/>
      <c r="V2" s="106" t="s">
        <v>74</v>
      </c>
    </row>
    <row r="3" spans="2:41" s="51" customFormat="1" ht="14.5" x14ac:dyDescent="0.35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Q3" s="51" t="s">
        <v>38</v>
      </c>
      <c r="U3" s="121">
        <v>1</v>
      </c>
      <c r="V3" s="106"/>
    </row>
    <row r="4" spans="2:41" s="51" customFormat="1" ht="14.5" x14ac:dyDescent="0.35">
      <c r="B4" s="55" t="str">
        <f>IF($Q$5=1,NL!A4,IF(cal!$Q$5=2,EN!A4,IF(cal!$Q$5=3,DE!A4,IF(cal!$Q$5=4,FR!A4,))))</f>
        <v>Conditions</v>
      </c>
      <c r="C4" s="53"/>
      <c r="D4" s="53"/>
      <c r="E4" s="53"/>
      <c r="F4" s="53"/>
      <c r="G4" s="200"/>
      <c r="H4" s="200"/>
      <c r="I4" s="200"/>
      <c r="J4" s="200"/>
      <c r="K4" s="53"/>
      <c r="L4" s="53"/>
      <c r="M4" s="53"/>
      <c r="N4" s="53"/>
      <c r="O4" s="53"/>
      <c r="Q4" s="51" t="s">
        <v>39</v>
      </c>
      <c r="U4" s="106"/>
      <c r="V4" s="106"/>
    </row>
    <row r="5" spans="2:41" s="51" customFormat="1" ht="6" customHeight="1" x14ac:dyDescent="0.35"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  <c r="O5" s="53"/>
      <c r="Q5" s="88">
        <v>2</v>
      </c>
      <c r="U5" s="106"/>
      <c r="V5" s="106"/>
    </row>
    <row r="6" spans="2:41" ht="14.5" x14ac:dyDescent="0.35">
      <c r="B6" s="59" t="str">
        <f>IF($Q$5=1,NL!A6,IF(cal!$Q$5=2,EN!A6,IF(cal!$Q$5=3,DE!A6,IF(cal!$Q$5=4,FR!A6,))))</f>
        <v>Temperatures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1"/>
      <c r="O6" s="62"/>
      <c r="U6" s="106"/>
      <c r="V6" s="106"/>
    </row>
    <row r="7" spans="2:41" ht="14.5" x14ac:dyDescent="0.35">
      <c r="B7" s="59" t="str">
        <f>IF($Q$5=1,NL!A7,IF(cal!$Q$5=2,EN!A7,IF(cal!$Q$5=3,DE!A7,IF(cal!$Q$5=4,FR!A7,))))</f>
        <v>Heating:</v>
      </c>
      <c r="C7" s="60"/>
      <c r="D7" s="60"/>
      <c r="E7" s="60"/>
      <c r="F7" s="60"/>
      <c r="G7" s="63" t="str">
        <f>IF($Q$5=1,NL!F7,IF(cal!$Q$5=2,EN!F7,IF(cal!$Q$5=3,DE!F7,IF(cal!$Q$5=4,FR!F7,))))</f>
        <v>Cooling:</v>
      </c>
      <c r="H7" s="63"/>
      <c r="I7" s="63"/>
      <c r="J7" s="60"/>
      <c r="K7" s="60"/>
      <c r="L7" s="60"/>
      <c r="M7" s="64"/>
      <c r="N7" s="61"/>
      <c r="O7" s="62"/>
      <c r="Q7" s="91" t="s">
        <v>61</v>
      </c>
      <c r="U7" s="91" t="s">
        <v>61</v>
      </c>
      <c r="V7" s="106"/>
    </row>
    <row r="8" spans="2:41" ht="14.5" x14ac:dyDescent="0.35">
      <c r="B8" s="189" t="str">
        <f>IF($Q$5=1,NL!A8,IF(cal!$Q$5=2,EN!A8,IF(cal!$Q$5=3,DE!A8,IF(cal!$Q$5=4,FR!A8,))))</f>
        <v>Inlet temp. [°C]</v>
      </c>
      <c r="C8" s="190">
        <f>IF($Q$5=1,NL!B8,IF(cal!$Q$5=2,EN!B8,IF(cal!$Q$5=3,DE!B8,IF(cal!$Q$5=4,FR!B8,))))</f>
        <v>0</v>
      </c>
      <c r="D8" s="190">
        <f>IF($Q$5=1,NL!C8,IF(cal!$Q$5=2,EN!C8,IF(cal!$Q$5=3,DE!C8,IF(cal!$Q$5=4,FR!C8,))))</f>
        <v>0</v>
      </c>
      <c r="E8" s="114">
        <f>'Clima Canal'!E8</f>
        <v>75</v>
      </c>
      <c r="F8" s="65"/>
      <c r="G8" s="190" t="str">
        <f>IF($Q$5=1,NL!F8,IF(cal!$Q$5=2,EN!F8,IF(cal!$Q$5=3,DE!F8,IF(cal!$Q$5=4,FR!F8,))))</f>
        <v>Inlet temp. [°C]</v>
      </c>
      <c r="H8" s="190">
        <f>IF($Q$5=1,NL!G8,IF(cal!$Q$5=2,EN!G8,IF(cal!$Q$5=3,DE!G8,IF(cal!$Q$5=4,FR!G8,))))</f>
        <v>0</v>
      </c>
      <c r="I8" s="190">
        <f>IF($Q$5=1,NL!H8,IF(cal!$Q$5=2,EN!H8,IF(cal!$Q$5=3,DE!H8,IF(cal!$Q$5=4,FR!H8,))))</f>
        <v>0</v>
      </c>
      <c r="J8" s="190">
        <f>IF($Q$5=1,NL!I8,IF(cal!$Q$5=2,EN!I8,IF(cal!$Q$5=3,DE!I8,IF(cal!$Q$5=4,FR!I8,))))</f>
        <v>0</v>
      </c>
      <c r="K8" s="114">
        <f>'Clima Canal'!K8</f>
        <v>7.9999999999999991</v>
      </c>
      <c r="L8" s="60"/>
      <c r="M8" s="60"/>
      <c r="N8" s="61"/>
      <c r="O8" s="62"/>
      <c r="Q8" s="137">
        <f>IF($U$3=1,E8,IF($U$3=2,(E8-32)/1.8))</f>
        <v>75</v>
      </c>
      <c r="U8" s="137">
        <f>IF($U$3=1,K8,IF($U$3=2,(K8-32)/1.8))</f>
        <v>7.9999999999999991</v>
      </c>
      <c r="V8" s="106"/>
    </row>
    <row r="9" spans="2:41" ht="14.5" x14ac:dyDescent="0.35">
      <c r="B9" s="189" t="str">
        <f>IF($Q$5=1,NL!A9,IF(cal!$Q$5=2,EN!A9,IF(cal!$Q$5=3,DE!A9,IF(cal!$Q$5=4,FR!A9,))))</f>
        <v>Return temp. [°C]</v>
      </c>
      <c r="C9" s="190">
        <f>IF($Q$5=1,NL!B9,IF(cal!$Q$5=2,EN!B9,IF(cal!$Q$5=3,DE!B9,IF(cal!$Q$5=4,FR!B9,))))</f>
        <v>0</v>
      </c>
      <c r="D9" s="190">
        <f>IF($Q$5=1,NL!C9,IF(cal!$Q$5=2,EN!C9,IF(cal!$Q$5=3,DE!C9,IF(cal!$Q$5=4,FR!C9,))))</f>
        <v>0</v>
      </c>
      <c r="E9" s="114">
        <f>'Clima Canal'!E9</f>
        <v>65</v>
      </c>
      <c r="F9" s="65"/>
      <c r="G9" s="190" t="str">
        <f>IF($Q$5=1,NL!F9,IF(cal!$Q$5=2,EN!F9,IF(cal!$Q$5=3,DE!F9,IF(cal!$Q$5=4,FR!F9,))))</f>
        <v>Return temp. [°C]</v>
      </c>
      <c r="H9" s="190">
        <f>IF($Q$5=1,NL!G9,IF(cal!$Q$5=2,EN!G9,IF(cal!$Q$5=3,DE!G9,IF(cal!$Q$5=4,FR!G9,))))</f>
        <v>0</v>
      </c>
      <c r="I9" s="190">
        <f>IF($Q$5=1,NL!H9,IF(cal!$Q$5=2,EN!H9,IF(cal!$Q$5=3,DE!H9,IF(cal!$Q$5=4,FR!H9,))))</f>
        <v>0</v>
      </c>
      <c r="J9" s="190">
        <f>IF($Q$5=1,NL!I9,IF(cal!$Q$5=2,EN!I9,IF(cal!$Q$5=3,DE!I9,IF(cal!$Q$5=4,FR!I9,))))</f>
        <v>0</v>
      </c>
      <c r="K9" s="114">
        <f>'Clima Canal'!K9</f>
        <v>12</v>
      </c>
      <c r="L9" s="60"/>
      <c r="M9" s="60"/>
      <c r="N9" s="61"/>
      <c r="O9" s="62"/>
      <c r="Q9" s="137">
        <f t="shared" ref="Q9:Q10" si="0">IF($U$3=1,E9,IF($U$3=2,(E9-32)/1.8))</f>
        <v>65</v>
      </c>
      <c r="U9" s="137">
        <f t="shared" ref="U9:U10" si="1">IF($U$3=1,K9,IF($U$3=2,(K9-32)/1.8))</f>
        <v>12</v>
      </c>
    </row>
    <row r="10" spans="2:41" ht="14.5" x14ac:dyDescent="0.35">
      <c r="B10" s="189" t="str">
        <f>IF($Q$5=1,NL!A10,IF(cal!$Q$5=2,EN!A10,IF(cal!$Q$5=3,DE!A10,IF(cal!$Q$5=4,FR!A10,))))</f>
        <v>Room temp. [°C]</v>
      </c>
      <c r="C10" s="190">
        <f>IF($Q$5=1,NL!B10,IF(cal!$Q$5=2,EN!B10,IF(cal!$Q$5=3,DE!B10,IF(cal!$Q$5=4,FR!B10,))))</f>
        <v>0</v>
      </c>
      <c r="D10" s="190">
        <f>IF($Q$5=1,NL!C10,IF(cal!$Q$5=2,EN!C10,IF(cal!$Q$5=3,DE!C10,IF(cal!$Q$5=4,FR!C10,))))</f>
        <v>0</v>
      </c>
      <c r="E10" s="114">
        <f>'Clima Canal'!E10</f>
        <v>20</v>
      </c>
      <c r="F10" s="65"/>
      <c r="G10" s="190" t="str">
        <f>IF($Q$5=1,NL!F10,IF(cal!$Q$5=2,EN!F10,IF(cal!$Q$5=3,DE!F10,IF(cal!$Q$5=4,FR!F10,))))</f>
        <v>Room temp. [°C]</v>
      </c>
      <c r="H10" s="190">
        <f>IF($Q$5=1,NL!G10,IF(cal!$Q$5=2,EN!G10,IF(cal!$Q$5=3,DE!G10,IF(cal!$Q$5=4,FR!G10,))))</f>
        <v>0</v>
      </c>
      <c r="I10" s="190"/>
      <c r="J10" s="190"/>
      <c r="K10" s="114">
        <f>'Clima Canal'!K10</f>
        <v>25</v>
      </c>
      <c r="L10" s="60"/>
      <c r="M10" s="60"/>
      <c r="N10" s="61"/>
      <c r="O10" s="62"/>
      <c r="Q10" s="137">
        <f t="shared" si="0"/>
        <v>20</v>
      </c>
      <c r="U10" s="137">
        <f t="shared" si="1"/>
        <v>25</v>
      </c>
    </row>
    <row r="11" spans="2:41" ht="14.5" x14ac:dyDescent="0.35">
      <c r="B11" s="66"/>
      <c r="C11" s="60"/>
      <c r="D11" s="60"/>
      <c r="E11" s="60"/>
      <c r="F11" s="60"/>
      <c r="G11" s="60" t="str">
        <f>IF($Q$5=1,NL!F11,IF(cal!$Q$5=2,EN!F11,IF(cal!$Q$5=3,DE!F11,IF(cal!$Q$5=4,FR!F11,))))</f>
        <v>rel. humid. [%]</v>
      </c>
      <c r="H11" s="60"/>
      <c r="I11" s="60"/>
      <c r="J11" s="60"/>
      <c r="K11" s="46">
        <f>'Clima Canal'!K11</f>
        <v>0.5</v>
      </c>
      <c r="L11" s="60"/>
      <c r="M11" s="60"/>
      <c r="N11" s="61"/>
      <c r="O11" s="62"/>
    </row>
    <row r="12" spans="2:41" ht="6" customHeight="1" x14ac:dyDescent="0.35">
      <c r="B12" s="68"/>
      <c r="C12" s="69"/>
      <c r="D12" s="69"/>
      <c r="E12" s="69"/>
      <c r="F12" s="70"/>
      <c r="G12" s="70"/>
      <c r="H12" s="70"/>
      <c r="I12" s="70"/>
      <c r="J12" s="70"/>
      <c r="K12" s="70"/>
      <c r="L12" s="70"/>
      <c r="M12" s="70"/>
      <c r="N12" s="164"/>
      <c r="O12" s="62"/>
    </row>
    <row r="13" spans="2:41" ht="14.5" x14ac:dyDescent="0.35">
      <c r="B13" s="116"/>
      <c r="C13" s="116"/>
      <c r="D13" s="119">
        <f>IF($U$3=1,1,IF($U$3=2,3.412141633))</f>
        <v>1</v>
      </c>
      <c r="E13" s="119">
        <f>IF($U$3=1,1,IF($U$3=2,0.004403))</f>
        <v>1</v>
      </c>
      <c r="F13" s="119">
        <f>IF($U$3=1,1,IF($U$3=2,4.0147))</f>
        <v>1</v>
      </c>
      <c r="G13" s="119">
        <f>IF($U$3=1,1,IF($U$3=2,3.412141633))</f>
        <v>1</v>
      </c>
      <c r="H13" s="119">
        <f>IF($U$3=1,1,IF($U$3=2,3.412141633))</f>
        <v>1</v>
      </c>
      <c r="I13" s="119">
        <f>IF($U$3=1,1,IF($U$3=2,0.004403))</f>
        <v>1</v>
      </c>
      <c r="J13" s="119">
        <f>IF($U$3=1,1,IF($U$3=2,4.0147))</f>
        <v>1</v>
      </c>
      <c r="K13" s="120"/>
      <c r="L13" s="120"/>
      <c r="M13" s="120"/>
      <c r="N13" s="119">
        <f>IF($U$3=1,1,IF($U$3=2,0.588575))</f>
        <v>1</v>
      </c>
      <c r="O13" s="62"/>
      <c r="U13" s="51"/>
      <c r="V13" s="51"/>
      <c r="W13" s="51"/>
      <c r="X13" s="51"/>
    </row>
    <row r="14" spans="2:41" s="90" customFormat="1" ht="103.5" customHeight="1" x14ac:dyDescent="0.35">
      <c r="B14" s="92" t="str">
        <f>IF($Q$5=1,NL!A14,IF(cal!$Q$5=2,EN!A14,IF(cal!$Q$5=3,DE!A14,IF(cal!$Q$5=4,FR!A14,))))</f>
        <v>Speed level:</v>
      </c>
      <c r="C14" s="95" t="str">
        <f>IF($Q$5=1,NL!B14,IF(cal!$Q$5=2,EN!B14,IF(cal!$Q$5=3,DE!B14,IF(cal!$Q$5=4,FR!B14,))))</f>
        <v>Control voltage [V]</v>
      </c>
      <c r="D14" s="96" t="str">
        <f>IF($Q$5=1,NL!C14,IF(cal!$Q$5=2,EN!C14,IF(cal!$Q$5=3,DE!C14,IF(cal!$Q$5=4,FR!C14,))))</f>
        <v>Heat output * 75/65/20 [W]</v>
      </c>
      <c r="E14" s="93" t="str">
        <f>IF($Q$5=1,NL!D14,IF(cal!$Q$5=2,EN!D14,IF(cal!$Q$5=3,DE!D14,IF(cal!$Q$5=4,FR!D14,))))</f>
        <v>Water flowrate, heating [l/h]</v>
      </c>
      <c r="F14" s="94" t="str">
        <f>IF($Q$5=1,NL!E14,IF(cal!$Q$5=2,EN!E14,IF(cal!$Q$5=3,DE!E14,IF(cal!$Q$5=4,FR!E14,))))</f>
        <v>Watersided pressure loss [kPa]</v>
      </c>
      <c r="G14" s="97" t="str">
        <f>IF($Q$5=1,NL!F14,IF(cal!$Q$5=2,EN!F14,IF(cal!$Q$5=3,DE!F14,IF(cal!$Q$5=4,FR!F14,))))</f>
        <v>Sens. cooling capacity * 8/12/25 [W]</v>
      </c>
      <c r="H14" s="98" t="str">
        <f>IF($Q$5=1,NL!G14,IF(cal!$Q$5=2,EN!G14,IF(cal!$Q$5=3,DE!G14,IF(cal!$Q$5=4,FR!G14,))))</f>
        <v>Tot. cooling capacity 8/12/25 [W]</v>
      </c>
      <c r="I14" s="93" t="str">
        <f>IF($Q$5=1,NL!H14,IF(cal!$Q$5=2,EN!H14,IF(cal!$Q$5=3,DE!H14,IF(cal!$Q$5=4,FR!H14,))))</f>
        <v>Water flowrate, cooling [l/h]</v>
      </c>
      <c r="J14" s="94" t="str">
        <f>IF($Q$5=1,NL!I14,IF(cal!$Q$5=2,EN!I14,IF(cal!$Q$5=3,DE!I14,IF(cal!$Q$5=4,FR!I14,))))</f>
        <v>Watersided pressure loss [kPa]</v>
      </c>
      <c r="K14" s="99" t="str">
        <f>IF($Q$5=1,NL!J14,IF(cal!$Q$5=2,EN!J14,IF(cal!$Q$5=3,DE!J14,IF(cal!$Q$5=4,FR!J14,))))</f>
        <v>Sound pressure *** [dB(A)]</v>
      </c>
      <c r="L14" s="100" t="str">
        <f>IF($Q$5=1,NL!K14,IF(cal!$Q$5=2,EN!K14,IF(cal!$Q$5=3,DE!K14,IF(cal!$Q$5=4,FR!K14,))))</f>
        <v>Sound power ** [dB(A)]</v>
      </c>
      <c r="M14" s="101" t="str">
        <f>IF($Q$5=1,NL!L14,IF(cal!$Q$5=2,EN!L14,IF(cal!$Q$5=3,DE!L14,IF(cal!$Q$5=4,FR!L14,))))</f>
        <v>Electrical power [W]</v>
      </c>
      <c r="N14" s="102" t="str">
        <f>IF($Q$5=1,NL!M14,IF(cal!$Q$5=2,EN!M14,IF(cal!$Q$5=3,DE!M14,IF(cal!$Q$5=4,FR!M14,))))</f>
        <v>Air flowrate [m³/h]</v>
      </c>
      <c r="O14" s="71"/>
      <c r="U14" s="107" t="s">
        <v>55</v>
      </c>
      <c r="V14" s="108" t="s">
        <v>56</v>
      </c>
      <c r="W14" s="108" t="s">
        <v>62</v>
      </c>
      <c r="X14" s="108" t="s">
        <v>63</v>
      </c>
      <c r="Y14" s="108" t="s">
        <v>64</v>
      </c>
      <c r="Z14" s="108" t="s">
        <v>65</v>
      </c>
      <c r="AA14" s="109" t="s">
        <v>66</v>
      </c>
      <c r="AB14" s="107" t="s">
        <v>55</v>
      </c>
      <c r="AC14" s="108" t="s">
        <v>56</v>
      </c>
      <c r="AD14" s="108" t="s">
        <v>62</v>
      </c>
      <c r="AE14" s="108" t="s">
        <v>63</v>
      </c>
      <c r="AF14" s="108" t="s">
        <v>64</v>
      </c>
      <c r="AG14" s="108" t="s">
        <v>65</v>
      </c>
      <c r="AH14" s="109" t="s">
        <v>66</v>
      </c>
      <c r="AI14" s="107" t="s">
        <v>55</v>
      </c>
      <c r="AJ14" s="108" t="s">
        <v>56</v>
      </c>
      <c r="AK14" s="108" t="s">
        <v>62</v>
      </c>
      <c r="AL14" s="108" t="s">
        <v>63</v>
      </c>
      <c r="AM14" s="108" t="s">
        <v>64</v>
      </c>
      <c r="AN14" s="108" t="s">
        <v>65</v>
      </c>
      <c r="AO14" s="109" t="s">
        <v>66</v>
      </c>
    </row>
    <row r="15" spans="2:41" ht="18" customHeight="1" x14ac:dyDescent="0.35">
      <c r="B15" s="186" t="str">
        <f>IF($Q$5=1,NL!A15,IF(cal!$Q$5=2,EN!A15,IF(cal!$Q$5=3,DE!A15,IF(cal!$Q$5=4,FR!A15,))))</f>
        <v>Clima Canal Height 10 cm Width 18 cm Length 72 cm (Type 1)</v>
      </c>
      <c r="C15" s="187">
        <f>IF($Q$5=1,NL!B15,IF(cal!$Q$5=2,EN!B15,IF(cal!$Q$5=3,DE!B15,IF(cal!$Q$5=4,FR!B15,))))</f>
        <v>0</v>
      </c>
      <c r="D15" s="186">
        <f>IF($Q$5=1,NL!C15,IF(cal!$Q$5=2,EN!C15,IF(cal!$Q$5=3,DE!C15,IF(cal!$Q$5=4,FR!C15,))))</f>
        <v>0</v>
      </c>
      <c r="E15" s="188">
        <f>IF($Q$5=1,NL!D15,IF(cal!$Q$5=2,EN!D15,IF(cal!$Q$5=3,DE!D15,IF(cal!$Q$5=4,FR!D15,))))</f>
        <v>0</v>
      </c>
      <c r="F15" s="187">
        <f>IF($Q$5=1,NL!E15,IF(cal!$Q$5=2,EN!E15,IF(cal!$Q$5=3,DE!E15,IF(cal!$Q$5=4,FR!E15,))))</f>
        <v>0</v>
      </c>
      <c r="G15" s="187">
        <f>IF($Q$5=1,NL!F15,IF(cal!$Q$5=2,EN!F15,IF(cal!$Q$5=3,DE!F15,IF(cal!$Q$5=4,FR!F15,))))</f>
        <v>0</v>
      </c>
      <c r="H15" s="187">
        <f>IF($Q$5=1,NL!G15,IF(cal!$Q$5=2,EN!G15,IF(cal!$Q$5=3,DE!G15,IF(cal!$Q$5=4,FR!G15,))))</f>
        <v>0</v>
      </c>
      <c r="I15" s="187">
        <f>IF($Q$5=1,NL!H15,IF(cal!$Q$5=2,EN!H15,IF(cal!$Q$5=3,DE!H15,IF(cal!$Q$5=4,FR!H15,))))</f>
        <v>0</v>
      </c>
      <c r="J15" s="187">
        <f>IF($Q$5=1,NL!I15,IF(cal!$Q$5=2,EN!I15,IF(cal!$Q$5=3,DE!I15,IF(cal!$Q$5=4,FR!I15,))))</f>
        <v>0</v>
      </c>
      <c r="K15" s="186">
        <f>IF($Q$5=1,NL!J15,IF(cal!$Q$5=2,EN!J15,IF(cal!$Q$5=3,DE!J15,IF(cal!$Q$5=4,FR!J15,))))</f>
        <v>0</v>
      </c>
      <c r="L15" s="187">
        <f>IF($Q$5=1,NL!K15,IF(cal!$Q$5=2,EN!K15,IF(cal!$Q$5=3,DE!K15,IF(cal!$Q$5=4,FR!K15,))))</f>
        <v>0</v>
      </c>
      <c r="M15" s="187">
        <f>IF($Q$5=1,NL!L15,IF(cal!$Q$5=2,EN!L15,IF(cal!$Q$5=3,DE!L15,IF(cal!$Q$5=4,FR!L15,))))</f>
        <v>0</v>
      </c>
      <c r="N15" s="188">
        <f>IF($Q$5=1,NL!M15,IF(cal!$Q$5=2,EN!M15,IF(cal!$Q$5=3,DE!M15,IF(cal!$Q$5=4,FR!M15,))))</f>
        <v>0</v>
      </c>
      <c r="O15" s="62"/>
      <c r="Q15" s="91" t="s">
        <v>11</v>
      </c>
      <c r="U15" s="194">
        <v>2</v>
      </c>
      <c r="V15" s="195"/>
      <c r="W15" s="195"/>
      <c r="X15" s="195"/>
      <c r="Y15" s="195"/>
      <c r="Z15" s="195"/>
      <c r="AA15" s="196"/>
      <c r="AB15" s="197" t="s">
        <v>71</v>
      </c>
      <c r="AC15" s="198"/>
      <c r="AD15" s="198"/>
      <c r="AE15" s="198"/>
      <c r="AF15" s="198"/>
      <c r="AG15" s="198"/>
      <c r="AH15" s="199"/>
      <c r="AI15" s="197" t="s">
        <v>72</v>
      </c>
      <c r="AJ15" s="198"/>
      <c r="AK15" s="198"/>
      <c r="AL15" s="198"/>
      <c r="AM15" s="198"/>
      <c r="AN15" s="198"/>
      <c r="AO15" s="199"/>
    </row>
    <row r="16" spans="2:41" ht="14.5" x14ac:dyDescent="0.35">
      <c r="B16" s="72">
        <v>0.2</v>
      </c>
      <c r="C16" s="73">
        <v>2</v>
      </c>
      <c r="D16" s="74">
        <f>(U16*((($Q$8+$Q$9)/2-$Q$10)/50))*$D$13</f>
        <v>276</v>
      </c>
      <c r="E16" s="112">
        <f>ROUND(((D16/$D$13)/(($Q$8-$Q$9)*1.163))*$E$13,IF($U$3=1,0,IF($U$3=2,2)))</f>
        <v>24</v>
      </c>
      <c r="F16" s="76">
        <f>($V$17*(E16/$E$13)^$V$19)*$F$13</f>
        <v>8.4318139307694717E-2</v>
      </c>
      <c r="G16" s="75">
        <f>(W16*(($U$10-(($U$8+$U$9)/2))/10)^Q16)*$G$13</f>
        <v>38.262735018773725</v>
      </c>
      <c r="H16" s="75">
        <f>((G16/$G$13)/(IF((237.3*LN(($K$11*EXP(17.27*($U$10/($U$10+237.3))))))/(17.27-LN(($K$11*EXP(17.27*($U$10/($U$10+237.3))))))&lt;(($U$8+$U$9)/2),1,1/(1+((2258*((0.622/((101325/(1*611*EXP(17.27*((($U$8+$U$9)/2)/((($U$8+$U$9)/2)+237.3))))))-1)*1000-(0.622/((101325/($K$11*611*EXP(17.27*($U$10/($U$10+237.3))))))-1)*1000))/(1005*((($U$8+$U$9)/2)-$U$10))))+-((-0.000625*$C16+0.00625)*($U$10-($U$8+$U$9)/2)-(-0.000625*$C16+0.00625)*10))))*$H$13</f>
        <v>52.532157154173042</v>
      </c>
      <c r="I16" s="112">
        <f>ROUND(((H16/$H$13)/(($U$9-$U$8)*1.163))*$I$13,IF($U$3=1,0,IF($U$3=2,2)))</f>
        <v>11</v>
      </c>
      <c r="J16" s="77">
        <f>($X$17*(I16/$I$13)^$X$19)*$J$13</f>
        <v>2.0327318681872993E-2</v>
      </c>
      <c r="K16" s="110">
        <f>L16-8</f>
        <v>14</v>
      </c>
      <c r="L16" s="104">
        <f t="shared" ref="L16:M20" si="2">Y16</f>
        <v>22</v>
      </c>
      <c r="M16" s="78">
        <f t="shared" si="2"/>
        <v>0.5</v>
      </c>
      <c r="N16" s="117">
        <f>AA16*$N$13</f>
        <v>24</v>
      </c>
      <c r="O16" s="62"/>
      <c r="Q16" s="138">
        <v>0.6</v>
      </c>
      <c r="U16" s="140">
        <f>IF($U$15=1,AB16,IF($U$15=2,AI16))</f>
        <v>276</v>
      </c>
      <c r="V16" s="123" t="str">
        <f t="shared" ref="V16:V19" si="3">IF($U$15=1,AC16,IF($U$15=2,AJ16))</f>
        <v>a</v>
      </c>
      <c r="W16" s="143">
        <f t="shared" ref="W16:W20" si="4">IF($U$15=1,AD16,IF($U$15=2,AK16))</f>
        <v>30</v>
      </c>
      <c r="X16" s="123" t="str">
        <f t="shared" ref="X16:X19" si="5">IF($U$15=1,AE16,IF($U$15=2,AL16))</f>
        <v>a</v>
      </c>
      <c r="Y16" s="125">
        <f t="shared" ref="Y16:Y20" si="6">IF($U$15=1,AF16,IF($U$15=2,AM16))</f>
        <v>22</v>
      </c>
      <c r="Z16" s="124">
        <f t="shared" ref="Z16:Z20" si="7">IF($U$15=1,AG16,IF($U$15=2,AN16))</f>
        <v>0.5</v>
      </c>
      <c r="AA16" s="124">
        <f t="shared" ref="AA16:AA20" si="8">IF($U$15=1,AH16,IF($U$15=2,AO16))</f>
        <v>24</v>
      </c>
      <c r="AB16" s="122">
        <v>276</v>
      </c>
      <c r="AC16" s="123" t="s">
        <v>57</v>
      </c>
      <c r="AD16" s="124">
        <v>0</v>
      </c>
      <c r="AE16" s="123" t="s">
        <v>57</v>
      </c>
      <c r="AF16" s="125">
        <v>22</v>
      </c>
      <c r="AG16" s="125">
        <v>0.5</v>
      </c>
      <c r="AH16" s="124">
        <v>24</v>
      </c>
      <c r="AI16" s="122">
        <f>AB16</f>
        <v>276</v>
      </c>
      <c r="AJ16" s="123" t="s">
        <v>57</v>
      </c>
      <c r="AK16" s="124">
        <v>30</v>
      </c>
      <c r="AL16" s="123" t="s">
        <v>57</v>
      </c>
      <c r="AM16" s="125">
        <f>AF16</f>
        <v>22</v>
      </c>
      <c r="AN16" s="125">
        <f>AG16</f>
        <v>0.5</v>
      </c>
      <c r="AO16" s="126">
        <f>AH16</f>
        <v>24</v>
      </c>
    </row>
    <row r="17" spans="2:41" ht="14.5" x14ac:dyDescent="0.35">
      <c r="B17" s="72">
        <v>0.4</v>
      </c>
      <c r="C17" s="73">
        <v>4</v>
      </c>
      <c r="D17" s="74">
        <f>(U17*((($Q$8+$Q$9)/2-$Q$10)/50))*$D$13</f>
        <v>496</v>
      </c>
      <c r="E17" s="112">
        <f>ROUND(((D17/$D$13)/(($Q$8-$Q$9)*1.163))*$E$13,IF($U$3=1,0,IF($U$3=2,2)))</f>
        <v>43</v>
      </c>
      <c r="F17" s="76">
        <f>($V$17*(E17/$E$13)^$V$19)*$F$13</f>
        <v>0.24419653125630486</v>
      </c>
      <c r="G17" s="75">
        <f>(W17*(($U$10-(($U$8+$U$9)/2))/10)^Q17)*$G$13</f>
        <v>86.953284575652233</v>
      </c>
      <c r="H17" s="75">
        <f>((G17/$G$13)/(IF((237.3*LN(($K$11*EXP(17.27*($U$10/($U$10+237.3))))))/(17.27-LN(($K$11*EXP(17.27*($U$10/($U$10+237.3))))))&lt;(($U$8+$U$9)/2),1,1/(1+((2258*((0.622/((101325/(1*611*EXP(17.27*((($U$8+$U$9)/2)/((($U$8+$U$9)/2)+237.3))))))-1)*1000-(0.622/((101325/($K$11*611*EXP(17.27*($U$10/($U$10+237.3))))))-1)*1000))/(1005*((($U$8+$U$9)/2)-$U$10))))+-((-0.000625*$C17+0.00625)*($U$10-($U$8+$U$9)/2)-(-0.000625*$C17+0.00625)*10))))*$H$13</f>
        <v>118.36532844439886</v>
      </c>
      <c r="I17" s="112">
        <f>ROUND(((H17/$H$13)/(($U$9-$U$8)*1.163))*$I$13,IF($U$3=1,0,IF($U$3=2,2)))</f>
        <v>25</v>
      </c>
      <c r="J17" s="77">
        <f>($X$17*(I17/$I$13)^$X$19)*$J$13</f>
        <v>9.0834263043628988E-2</v>
      </c>
      <c r="K17" s="110">
        <f t="shared" ref="K17:K20" si="9">L17-8</f>
        <v>15</v>
      </c>
      <c r="L17" s="104">
        <f t="shared" si="2"/>
        <v>23</v>
      </c>
      <c r="M17" s="78">
        <f t="shared" si="2"/>
        <v>0.8</v>
      </c>
      <c r="N17" s="117">
        <f>AA17*$N$13</f>
        <v>37</v>
      </c>
      <c r="O17" s="62"/>
      <c r="Q17" s="138">
        <v>0.68</v>
      </c>
      <c r="U17" s="141">
        <f t="shared" ref="U17:U20" si="10">IF($U$15=1,AB17,IF($U$15=2,AI17))</f>
        <v>496</v>
      </c>
      <c r="V17" s="128">
        <f t="shared" si="3"/>
        <v>2.5649818987149339E-4</v>
      </c>
      <c r="W17" s="144">
        <f t="shared" si="4"/>
        <v>66</v>
      </c>
      <c r="X17" s="128">
        <f t="shared" si="5"/>
        <v>2.5649818987149339E-4</v>
      </c>
      <c r="Y17" s="129">
        <f t="shared" si="6"/>
        <v>23</v>
      </c>
      <c r="Z17" s="128">
        <f t="shared" si="7"/>
        <v>0.8</v>
      </c>
      <c r="AA17" s="128">
        <f t="shared" si="8"/>
        <v>37</v>
      </c>
      <c r="AB17" s="127">
        <v>496</v>
      </c>
      <c r="AC17" s="128">
        <v>2.5649818987149339E-4</v>
      </c>
      <c r="AD17" s="128">
        <v>0</v>
      </c>
      <c r="AE17" s="128">
        <f>AC17</f>
        <v>2.5649818987149339E-4</v>
      </c>
      <c r="AF17" s="129">
        <v>23</v>
      </c>
      <c r="AG17" s="129">
        <v>0.8</v>
      </c>
      <c r="AH17" s="128">
        <v>37</v>
      </c>
      <c r="AI17" s="127">
        <f t="shared" ref="AI17:AI20" si="11">AB17</f>
        <v>496</v>
      </c>
      <c r="AJ17" s="128">
        <f>AE17</f>
        <v>2.5649818987149339E-4</v>
      </c>
      <c r="AK17" s="128">
        <v>66</v>
      </c>
      <c r="AL17" s="128">
        <f>AJ17</f>
        <v>2.5649818987149339E-4</v>
      </c>
      <c r="AM17" s="129">
        <f t="shared" ref="AM17:AM20" si="12">AF17</f>
        <v>23</v>
      </c>
      <c r="AN17" s="129">
        <f t="shared" ref="AN17:AN20" si="13">AG17</f>
        <v>0.8</v>
      </c>
      <c r="AO17" s="130">
        <f t="shared" ref="AO17:AO20" si="14">AH17</f>
        <v>37</v>
      </c>
    </row>
    <row r="18" spans="2:41" ht="14.5" x14ac:dyDescent="0.35">
      <c r="B18" s="72">
        <v>0.6</v>
      </c>
      <c r="C18" s="73">
        <v>6</v>
      </c>
      <c r="D18" s="74">
        <f>(U18*((($Q$8+$Q$9)/2-$Q$10)/50))*$D$13</f>
        <v>699</v>
      </c>
      <c r="E18" s="112">
        <f>ROUND(((D18/$D$13)/(($Q$8-$Q$9)*1.163))*$E$13,IF($U$3=1,0,IF($U$3=2,2)))</f>
        <v>60</v>
      </c>
      <c r="F18" s="76">
        <f>($V$17*(E18/$E$13)^$V$19)*$F$13</f>
        <v>0.44830215010840868</v>
      </c>
      <c r="G18" s="75">
        <f>(W18*(($U$10-(($U$8+$U$9)/2))/10)^Q18)*$G$13</f>
        <v>143.26675821503031</v>
      </c>
      <c r="H18" s="75">
        <f>((G18/$G$13)/(IF((237.3*LN(($K$11*EXP(17.27*($U$10/($U$10+237.3))))))/(17.27-LN(($K$11*EXP(17.27*($U$10/($U$10+237.3))))))&lt;(($U$8+$U$9)/2),1,1/(1+((2258*((0.622/((101325/(1*611*EXP(17.27*((($U$8+$U$9)/2)/((($U$8+$U$9)/2)+237.3))))))-1)*1000-(0.622/((101325/($K$11*611*EXP(17.27*($U$10/($U$10+237.3))))))-1)*1000))/(1005*((($U$8+$U$9)/2)-$U$10))))+-((-0.000625*$C18+0.00625)*($U$10-($U$8+$U$9)/2)-(-0.000625*$C18+0.00625)*10))))*$H$13</f>
        <v>193.3769373286749</v>
      </c>
      <c r="I18" s="112">
        <f>ROUND(((H18/$H$13)/(($U$9-$U$8)*1.163))*$I$13,IF($U$3=1,0,IF($U$3=2,2)))</f>
        <v>42</v>
      </c>
      <c r="J18" s="77">
        <f>($X$17*(I18/$I$13)^$X$19)*$J$13</f>
        <v>0.23394010669728807</v>
      </c>
      <c r="K18" s="110">
        <f t="shared" si="9"/>
        <v>23</v>
      </c>
      <c r="L18" s="104">
        <f t="shared" si="2"/>
        <v>31</v>
      </c>
      <c r="M18" s="78">
        <f t="shared" si="2"/>
        <v>1.3</v>
      </c>
      <c r="N18" s="117">
        <f>AA18*$N$13</f>
        <v>52</v>
      </c>
      <c r="O18" s="62"/>
      <c r="Q18" s="138">
        <v>0.79</v>
      </c>
      <c r="U18" s="141">
        <f t="shared" si="10"/>
        <v>699</v>
      </c>
      <c r="V18" s="123" t="str">
        <f t="shared" si="3"/>
        <v>b</v>
      </c>
      <c r="W18" s="144">
        <f t="shared" si="4"/>
        <v>104</v>
      </c>
      <c r="X18" s="123" t="str">
        <f t="shared" si="5"/>
        <v>b</v>
      </c>
      <c r="Y18" s="129">
        <f t="shared" si="6"/>
        <v>31</v>
      </c>
      <c r="Z18" s="128">
        <f t="shared" si="7"/>
        <v>1.3</v>
      </c>
      <c r="AA18" s="128">
        <f t="shared" si="8"/>
        <v>52</v>
      </c>
      <c r="AB18" s="127">
        <v>699</v>
      </c>
      <c r="AC18" s="123" t="s">
        <v>58</v>
      </c>
      <c r="AD18" s="128">
        <v>0</v>
      </c>
      <c r="AE18" s="123" t="s">
        <v>58</v>
      </c>
      <c r="AF18" s="129">
        <v>31</v>
      </c>
      <c r="AG18" s="129">
        <v>1.3</v>
      </c>
      <c r="AH18" s="128">
        <v>52</v>
      </c>
      <c r="AI18" s="127">
        <f t="shared" si="11"/>
        <v>699</v>
      </c>
      <c r="AJ18" s="123" t="s">
        <v>58</v>
      </c>
      <c r="AK18" s="128">
        <v>104</v>
      </c>
      <c r="AL18" s="123" t="s">
        <v>58</v>
      </c>
      <c r="AM18" s="129">
        <f t="shared" si="12"/>
        <v>31</v>
      </c>
      <c r="AN18" s="129">
        <f t="shared" si="13"/>
        <v>1.3</v>
      </c>
      <c r="AO18" s="130">
        <f t="shared" si="14"/>
        <v>52</v>
      </c>
    </row>
    <row r="19" spans="2:41" ht="14.5" x14ac:dyDescent="0.35">
      <c r="B19" s="72">
        <v>0.8</v>
      </c>
      <c r="C19" s="73">
        <v>8</v>
      </c>
      <c r="D19" s="74">
        <f>(U19*((($Q$8+$Q$9)/2-$Q$10)/50))*$D$13</f>
        <v>891</v>
      </c>
      <c r="E19" s="112">
        <f>ROUND(((D19/$D$13)/(($Q$8-$Q$9)*1.163))*$E$13,IF($U$3=1,0,IF($U$3=2,2)))</f>
        <v>77</v>
      </c>
      <c r="F19" s="76">
        <f>($V$17*(E19/$E$13)^$V$19)*$F$13</f>
        <v>0.70652826798106727</v>
      </c>
      <c r="G19" s="75">
        <f>(W19*(($U$10-(($U$8+$U$9)/2))/10)^Q19)*$G$13</f>
        <v>204.90940274587439</v>
      </c>
      <c r="H19" s="75">
        <f>((G19/$G$13)/(IF((237.3*LN(($K$11*EXP(17.27*($U$10/($U$10+237.3))))))/(17.27-LN(($K$11*EXP(17.27*($U$10/($U$10+237.3))))))&lt;(($U$8+$U$9)/2),1,1/(1+((2258*((0.622/((101325/(1*611*EXP(17.27*((($U$8+$U$9)/2)/((($U$8+$U$9)/2)+237.3))))))-1)*1000-(0.622/((101325/($K$11*611*EXP(17.27*($U$10/($U$10+237.3))))))-1)*1000))/(1005*((($U$8+$U$9)/2)-$U$10))))+-((-0.000625*$C19+0.00625)*($U$10-($U$8+$U$9)/2)-(-0.000625*$C19+0.00625)*10))))*$H$13</f>
        <v>274.26650202266978</v>
      </c>
      <c r="I19" s="112">
        <f>ROUND(((H19/$H$13)/(($U$9-$U$8)*1.163))*$I$13,IF($U$3=1,0,IF($U$3=2,2)))</f>
        <v>59</v>
      </c>
      <c r="J19" s="77">
        <f>($X$17*(I19/$I$13)^$X$19)*$J$13</f>
        <v>0.4347709780055431</v>
      </c>
      <c r="K19" s="110">
        <f t="shared" si="9"/>
        <v>28</v>
      </c>
      <c r="L19" s="104">
        <f t="shared" si="2"/>
        <v>36</v>
      </c>
      <c r="M19" s="78">
        <f t="shared" si="2"/>
        <v>2.1</v>
      </c>
      <c r="N19" s="117">
        <f>AA19*$N$13</f>
        <v>68</v>
      </c>
      <c r="O19" s="62"/>
      <c r="Q19" s="138">
        <v>0.87</v>
      </c>
      <c r="U19" s="141">
        <f t="shared" si="10"/>
        <v>891</v>
      </c>
      <c r="V19" s="128">
        <f t="shared" si="3"/>
        <v>1.8235155847906248</v>
      </c>
      <c r="W19" s="144">
        <f t="shared" si="4"/>
        <v>144</v>
      </c>
      <c r="X19" s="128">
        <f t="shared" si="5"/>
        <v>1.8235155847906248</v>
      </c>
      <c r="Y19" s="129">
        <f t="shared" si="6"/>
        <v>36</v>
      </c>
      <c r="Z19" s="128">
        <f t="shared" si="7"/>
        <v>2.1</v>
      </c>
      <c r="AA19" s="128">
        <f t="shared" si="8"/>
        <v>68</v>
      </c>
      <c r="AB19" s="127">
        <v>891</v>
      </c>
      <c r="AC19" s="128">
        <v>1.8235155847906248</v>
      </c>
      <c r="AD19" s="128">
        <v>0</v>
      </c>
      <c r="AE19" s="128">
        <f>AC19</f>
        <v>1.8235155847906248</v>
      </c>
      <c r="AF19" s="129">
        <v>36</v>
      </c>
      <c r="AG19" s="129">
        <v>2.1</v>
      </c>
      <c r="AH19" s="128">
        <v>68</v>
      </c>
      <c r="AI19" s="127">
        <f t="shared" si="11"/>
        <v>891</v>
      </c>
      <c r="AJ19" s="128">
        <f>AE19</f>
        <v>1.8235155847906248</v>
      </c>
      <c r="AK19" s="128">
        <v>144</v>
      </c>
      <c r="AL19" s="128">
        <f>AJ19</f>
        <v>1.8235155847906248</v>
      </c>
      <c r="AM19" s="129">
        <f t="shared" si="12"/>
        <v>36</v>
      </c>
      <c r="AN19" s="129">
        <f t="shared" si="13"/>
        <v>2.1</v>
      </c>
      <c r="AO19" s="130">
        <f t="shared" si="14"/>
        <v>68</v>
      </c>
    </row>
    <row r="20" spans="2:41" ht="14.5" x14ac:dyDescent="0.35">
      <c r="B20" s="72">
        <v>1</v>
      </c>
      <c r="C20" s="73">
        <v>10</v>
      </c>
      <c r="D20" s="74">
        <f>(U20*((($Q$8+$Q$9)/2-$Q$10)/50))*$D$13</f>
        <v>1075</v>
      </c>
      <c r="E20" s="112">
        <f>ROUND(((D20/$D$13)/(($Q$8-$Q$9)*1.163))*$E$13,IF($U$3=1,0,IF($U$3=2,2)))</f>
        <v>92</v>
      </c>
      <c r="F20" s="76">
        <f>($V$17*(E20/$E$13)^$V$19)*$F$13</f>
        <v>0.9774217817127987</v>
      </c>
      <c r="G20" s="75">
        <f>(W20*(($U$10-(($U$8+$U$9)/2))/10)^Q20)*$G$13</f>
        <v>267.55604902591546</v>
      </c>
      <c r="H20" s="75">
        <f>((G20/$G$13)/(IF((237.3*LN(($K$11*EXP(17.27*($U$10/($U$10+237.3))))))/(17.27-LN(($K$11*EXP(17.27*($U$10/($U$10+237.3))))))&lt;(($U$8+$U$9)/2),1,1/(1+((2258*((0.622/((101325/(1*611*EXP(17.27*((($U$8+$U$9)/2)/((($U$8+$U$9)/2)+237.3))))))-1)*1000-(0.622/((101325/($K$11*611*EXP(17.27*($U$10/($U$10+237.3))))))-1)*1000))/(1005*((($U$8+$U$9)/2)-$U$10))))+-((-0.000625*$C20+0.00625)*($U$10-($U$8+$U$9)/2)-(-0.000625*$C20+0.00625)*10))))*$H$13</f>
        <v>355.14661873005377</v>
      </c>
      <c r="I20" s="112">
        <f>ROUND(((H20/$H$13)/(($U$9-$U$8)*1.163))*$I$13,IF($U$3=1,0,IF($U$3=2,2)))</f>
        <v>76</v>
      </c>
      <c r="J20" s="77">
        <f>($X$17*(I20/$I$13)^$X$19)*$J$13</f>
        <v>0.68988579414284434</v>
      </c>
      <c r="K20" s="110">
        <f t="shared" si="9"/>
        <v>34</v>
      </c>
      <c r="L20" s="104">
        <f t="shared" si="2"/>
        <v>42</v>
      </c>
      <c r="M20" s="78">
        <f t="shared" si="2"/>
        <v>3</v>
      </c>
      <c r="N20" s="117">
        <f>AA20*$N$13</f>
        <v>79</v>
      </c>
      <c r="O20" s="62"/>
      <c r="Q20" s="138">
        <v>0.91</v>
      </c>
      <c r="U20" s="142">
        <f t="shared" si="10"/>
        <v>1075</v>
      </c>
      <c r="V20" s="132"/>
      <c r="W20" s="145">
        <f t="shared" si="4"/>
        <v>185</v>
      </c>
      <c r="X20" s="132"/>
      <c r="Y20" s="135">
        <f t="shared" si="6"/>
        <v>42</v>
      </c>
      <c r="Z20" s="133">
        <f t="shared" si="7"/>
        <v>3</v>
      </c>
      <c r="AA20" s="133">
        <f t="shared" si="8"/>
        <v>79</v>
      </c>
      <c r="AB20" s="131">
        <v>1075</v>
      </c>
      <c r="AC20" s="134"/>
      <c r="AD20" s="133">
        <v>0</v>
      </c>
      <c r="AE20" s="134"/>
      <c r="AF20" s="135">
        <v>42</v>
      </c>
      <c r="AG20" s="135">
        <v>3</v>
      </c>
      <c r="AH20" s="133">
        <v>79</v>
      </c>
      <c r="AI20" s="131">
        <f t="shared" si="11"/>
        <v>1075</v>
      </c>
      <c r="AJ20" s="134"/>
      <c r="AK20" s="133">
        <v>185</v>
      </c>
      <c r="AL20" s="134"/>
      <c r="AM20" s="135">
        <f t="shared" si="12"/>
        <v>42</v>
      </c>
      <c r="AN20" s="135">
        <f t="shared" si="13"/>
        <v>3</v>
      </c>
      <c r="AO20" s="136">
        <f t="shared" si="14"/>
        <v>79</v>
      </c>
    </row>
    <row r="21" spans="2:41" ht="16.899999999999999" customHeight="1" x14ac:dyDescent="0.35">
      <c r="B21" s="186" t="str">
        <f>IF($Q$5=1,NL!A21,IF(cal!$Q$5=2,EN!A21,IF(cal!$Q$5=3,DE!A21,IF(cal!$Q$5=4,FR!A21,))))</f>
        <v>Clima Canal Height 10 cm Width 18 cm Length 108 cm (Type 2)</v>
      </c>
      <c r="C21" s="187">
        <f>IF($Q$5=1,NL!B21,IF(cal!$Q$5=2,EN!B21,IF(cal!$Q$5=3,DE!B21,IF(cal!$Q$5=4,FR!B21,))))</f>
        <v>0</v>
      </c>
      <c r="D21" s="186">
        <f>IF($Q$5=1,NL!C21,IF(cal!$Q$5=2,EN!C21,IF(cal!$Q$5=3,DE!C21,IF(cal!$Q$5=4,FR!C21,))))</f>
        <v>0</v>
      </c>
      <c r="E21" s="188">
        <f>IF($Q$5=1,NL!D21,IF(cal!$Q$5=2,EN!D21,IF(cal!$Q$5=3,DE!D21,IF(cal!$Q$5=4,FR!D21,))))</f>
        <v>0</v>
      </c>
      <c r="F21" s="187">
        <f>IF($Q$5=1,NL!E21,IF(cal!$Q$5=2,EN!E21,IF(cal!$Q$5=3,DE!E21,IF(cal!$Q$5=4,FR!E21,))))</f>
        <v>0</v>
      </c>
      <c r="G21" s="187">
        <f>IF($Q$5=1,NL!F21,IF(cal!$Q$5=2,EN!F21,IF(cal!$Q$5=3,DE!F21,IF(cal!$Q$5=4,FR!F21,))))</f>
        <v>0</v>
      </c>
      <c r="H21" s="187">
        <f>IF($Q$5=1,NL!G21,IF(cal!$Q$5=2,EN!G21,IF(cal!$Q$5=3,DE!G21,IF(cal!$Q$5=4,FR!G21,))))</f>
        <v>0</v>
      </c>
      <c r="I21" s="187">
        <f>IF($Q$5=1,NL!H21,IF(cal!$Q$5=2,EN!H21,IF(cal!$Q$5=3,DE!H21,IF(cal!$Q$5=4,FR!H21,))))</f>
        <v>0</v>
      </c>
      <c r="J21" s="187">
        <f>IF($Q$5=1,NL!I21,IF(cal!$Q$5=2,EN!I21,IF(cal!$Q$5=3,DE!I21,IF(cal!$Q$5=4,FR!I21,))))</f>
        <v>0</v>
      </c>
      <c r="K21" s="186">
        <f>IF($Q$5=1,NL!J21,IF(cal!$Q$5=2,EN!J21,IF(cal!$Q$5=3,DE!J21,IF(cal!$Q$5=4,FR!J21,))))</f>
        <v>0</v>
      </c>
      <c r="L21" s="187">
        <f>IF($Q$5=1,NL!K21,IF(cal!$Q$5=2,EN!K21,IF(cal!$Q$5=3,DE!K21,IF(cal!$Q$5=4,FR!K21,))))</f>
        <v>0</v>
      </c>
      <c r="M21" s="187">
        <f>IF($Q$5=1,NL!L21,IF(cal!$Q$5=2,EN!L21,IF(cal!$Q$5=3,DE!L21,IF(cal!$Q$5=4,FR!L21,))))</f>
        <v>0</v>
      </c>
      <c r="N21" s="188">
        <f>IF($Q$5=1,NL!M21,IF(cal!$Q$5=2,EN!M21,IF(cal!$Q$5=3,DE!M21,IF(cal!$Q$5=4,FR!M21,))))</f>
        <v>0</v>
      </c>
      <c r="O21" s="62"/>
      <c r="Q21" s="91" t="s">
        <v>11</v>
      </c>
      <c r="U21" s="154" t="s">
        <v>76</v>
      </c>
      <c r="V21" s="155">
        <f t="shared" ref="V21:Z21" si="15">IF($U$15=1,AC21,IF($U$15=2,AJ21,IF($U$15=3,AQ21,IF($U$15=4,AX21,IF($U$15=5,BE21,IF($U$15=6,BL21,IF($U$15=7,BS21,IF($U$15=8,BZ21))))))))</f>
        <v>10</v>
      </c>
      <c r="W21" s="154" t="s">
        <v>77</v>
      </c>
      <c r="X21" s="155">
        <f t="shared" si="15"/>
        <v>18</v>
      </c>
      <c r="Y21" s="154" t="s">
        <v>78</v>
      </c>
      <c r="Z21" s="156">
        <f t="shared" si="15"/>
        <v>72</v>
      </c>
      <c r="AA21" s="139"/>
      <c r="AB21" s="154" t="s">
        <v>76</v>
      </c>
      <c r="AC21" s="157">
        <f>8*IF($U$3=1,1,IF($U$3=2,1/2.54))</f>
        <v>8</v>
      </c>
      <c r="AD21" s="154" t="s">
        <v>77</v>
      </c>
      <c r="AE21" s="157">
        <f>18*IF($U$3=1,1,IF($U$3=2,1/2.54))</f>
        <v>18</v>
      </c>
      <c r="AF21" s="154" t="s">
        <v>78</v>
      </c>
      <c r="AG21" s="158">
        <f>72*IF($U$3=1,1,IF($U$3=2,1/2.54))</f>
        <v>72</v>
      </c>
      <c r="AH21" s="139"/>
      <c r="AI21" s="154" t="s">
        <v>76</v>
      </c>
      <c r="AJ21" s="157">
        <f>10*IF($U$3=1,1,IF($U$3=2,1/2.54))</f>
        <v>10</v>
      </c>
      <c r="AK21" s="154" t="s">
        <v>77</v>
      </c>
      <c r="AL21" s="157">
        <f>AE21</f>
        <v>18</v>
      </c>
      <c r="AM21" s="154" t="s">
        <v>78</v>
      </c>
      <c r="AN21" s="159">
        <f>AG21</f>
        <v>72</v>
      </c>
      <c r="AO21" s="139"/>
    </row>
    <row r="22" spans="2:41" ht="14.5" x14ac:dyDescent="0.35">
      <c r="B22" s="72">
        <v>0.2</v>
      </c>
      <c r="C22" s="73">
        <v>2</v>
      </c>
      <c r="D22" s="74">
        <f>(U22*((($Q$8+$Q$9)/2-$Q$10)/50))*$D$13</f>
        <v>569</v>
      </c>
      <c r="E22" s="112">
        <f>ROUND(((D22/$D$13)/(($Q$8-$Q$9)*1.163))*$E$13,IF($U$3=1,0,IF($U$3=2,2)))</f>
        <v>49</v>
      </c>
      <c r="F22" s="76">
        <f>($V$23*(E22/$E$13)^$V$25)*$F$13</f>
        <v>0.48567600760441176</v>
      </c>
      <c r="G22" s="75">
        <f>(W22*(($U$10-(($U$8+$U$9)/2))/10)^Q22)*$G$13</f>
        <v>79.076319038799028</v>
      </c>
      <c r="H22" s="75">
        <f>((G22/$G$13)/(IF((237.3*LN(($K$11*EXP(17.27*($U$10/($U$10+237.3))))))/(17.27-LN(($K$11*EXP(17.27*($U$10/($U$10+237.3))))))&lt;(($U$8+$U$9)/2),1,1/(1+((2258*((0.622/((101325/(1*611*EXP(17.27*((($U$8+$U$9)/2)/((($U$8+$U$9)/2)+237.3))))))-1)*1000-(0.622/((101325/($K$11*611*EXP(17.27*($U$10/($U$10+237.3))))))-1)*1000))/(1005*((($U$8+$U$9)/2)-$U$10))))+-((-0.000625*$C22+0.00625)*($U$10-($U$8+$U$9)/2)-(-0.000625*$C22+0.00625)*10))))*$H$13</f>
        <v>108.56645811862428</v>
      </c>
      <c r="I22" s="112">
        <f>ROUND(((H22/$H$13)/(($U$9-$U$8)*1.163))*$I$13,IF($U$3=1,0,IF($U$3=2,2)))</f>
        <v>23</v>
      </c>
      <c r="J22" s="77">
        <f>($X$23*(I22/$I$13)^$X$25)*$J$13</f>
        <v>0.122286830202021</v>
      </c>
      <c r="K22" s="110">
        <f t="shared" ref="K22:K26" si="16">L22-8</f>
        <v>15</v>
      </c>
      <c r="L22" s="104">
        <f t="shared" ref="L22:M26" si="17">Y22</f>
        <v>23</v>
      </c>
      <c r="M22" s="78">
        <f t="shared" si="17"/>
        <v>0.6</v>
      </c>
      <c r="N22" s="117">
        <f>AA22*$N$13</f>
        <v>42</v>
      </c>
      <c r="O22" s="62"/>
      <c r="Q22" s="138">
        <v>0.6</v>
      </c>
      <c r="U22" s="140">
        <f t="shared" ref="U22:U26" si="18">IF($U$15=1,AB22,IF($U$15=2,AI22))</f>
        <v>569</v>
      </c>
      <c r="V22" s="123" t="str">
        <f t="shared" ref="V22:V25" si="19">IF($U$15=1,AC22,IF($U$15=2,AJ22))</f>
        <v>a</v>
      </c>
      <c r="W22" s="143">
        <f t="shared" ref="W22:W26" si="20">IF($U$15=1,AD22,IF($U$15=2,AK22))</f>
        <v>62</v>
      </c>
      <c r="X22" s="123" t="str">
        <f t="shared" ref="X22:X25" si="21">IF($U$15=1,AE22,IF($U$15=2,AL22))</f>
        <v>a</v>
      </c>
      <c r="Y22" s="125">
        <f t="shared" ref="Y22:Y26" si="22">IF($U$15=1,AF22,IF($U$15=2,AM22))</f>
        <v>23</v>
      </c>
      <c r="Z22" s="124">
        <f t="shared" ref="Z22:Z26" si="23">IF($U$15=1,AG22,IF($U$15=2,AN22))</f>
        <v>0.6</v>
      </c>
      <c r="AA22" s="124">
        <f t="shared" ref="AA22:AA26" si="24">IF($U$15=1,AH22,IF($U$15=2,AO22))</f>
        <v>42</v>
      </c>
      <c r="AB22" s="122">
        <v>569</v>
      </c>
      <c r="AC22" s="123" t="s">
        <v>57</v>
      </c>
      <c r="AD22" s="124">
        <v>0</v>
      </c>
      <c r="AE22" s="123" t="s">
        <v>57</v>
      </c>
      <c r="AF22" s="125">
        <v>23</v>
      </c>
      <c r="AG22" s="125">
        <v>0.6</v>
      </c>
      <c r="AH22" s="126">
        <v>42</v>
      </c>
      <c r="AI22" s="122">
        <f t="shared" ref="AI22:AI26" si="25">AB22</f>
        <v>569</v>
      </c>
      <c r="AJ22" s="123" t="s">
        <v>57</v>
      </c>
      <c r="AK22" s="124">
        <v>62</v>
      </c>
      <c r="AL22" s="123" t="s">
        <v>57</v>
      </c>
      <c r="AM22" s="125">
        <f t="shared" ref="AM22:AM26" si="26">AF22</f>
        <v>23</v>
      </c>
      <c r="AN22" s="125">
        <f t="shared" ref="AN22:AN26" si="27">AG22</f>
        <v>0.6</v>
      </c>
      <c r="AO22" s="126">
        <f t="shared" ref="AO22:AO26" si="28">AH22</f>
        <v>42</v>
      </c>
    </row>
    <row r="23" spans="2:41" ht="14.5" x14ac:dyDescent="0.35">
      <c r="B23" s="72">
        <v>0.4</v>
      </c>
      <c r="C23" s="73">
        <v>4</v>
      </c>
      <c r="D23" s="74">
        <f>(U23*((($Q$8+$Q$9)/2-$Q$10)/50))*$D$13</f>
        <v>1021</v>
      </c>
      <c r="E23" s="112">
        <f>ROUND(((D23/$D$13)/(($Q$8-$Q$9)*1.163))*$E$13,IF($U$3=1,0,IF($U$3=2,2)))</f>
        <v>88</v>
      </c>
      <c r="F23" s="76">
        <f>($V$23*(E23/$E$13)^$V$25)*$F$13</f>
        <v>1.4126748504924624</v>
      </c>
      <c r="G23" s="75">
        <f>(W23*(($U$10-(($U$8+$U$9)/2))/10)^Q23)*$G$13</f>
        <v>177.85899117747047</v>
      </c>
      <c r="H23" s="75">
        <f>((G23/$G$13)/(IF((237.3*LN(($K$11*EXP(17.27*($U$10/($U$10+237.3))))))/(17.27-LN(($K$11*EXP(17.27*($U$10/($U$10+237.3))))))&lt;(($U$8+$U$9)/2),1,1/(1+((2258*((0.622/((101325/(1*611*EXP(17.27*((($U$8+$U$9)/2)/((($U$8+$U$9)/2)+237.3))))))-1)*1000-(0.622/((101325/($K$11*611*EXP(17.27*($U$10/($U$10+237.3))))))-1)*1000))/(1005*((($U$8+$U$9)/2)-$U$10))))+-((-0.000625*$C23+0.00625)*($U$10-($U$8+$U$9)/2)-(-0.000625*$C23+0.00625)*10))))*$H$13</f>
        <v>242.11089909081582</v>
      </c>
      <c r="I23" s="112">
        <f>ROUND(((H23/$H$13)/(($U$9-$U$8)*1.163))*$I$13,IF($U$3=1,0,IF($U$3=2,2)))</f>
        <v>52</v>
      </c>
      <c r="J23" s="77">
        <f>($X$23*(I23/$I$13)^$X$25)*$J$13</f>
        <v>0.54126082758914029</v>
      </c>
      <c r="K23" s="110">
        <f t="shared" si="16"/>
        <v>19</v>
      </c>
      <c r="L23" s="104">
        <f t="shared" si="17"/>
        <v>27</v>
      </c>
      <c r="M23" s="78">
        <f t="shared" si="17"/>
        <v>1.3</v>
      </c>
      <c r="N23" s="117">
        <f>AA23*$N$13</f>
        <v>75</v>
      </c>
      <c r="O23" s="62"/>
      <c r="Q23" s="138">
        <v>0.68</v>
      </c>
      <c r="U23" s="141">
        <f t="shared" si="18"/>
        <v>1021</v>
      </c>
      <c r="V23" s="128">
        <f t="shared" si="19"/>
        <v>4.0202009009986008E-4</v>
      </c>
      <c r="W23" s="144">
        <f t="shared" si="20"/>
        <v>135</v>
      </c>
      <c r="X23" s="128">
        <f t="shared" si="21"/>
        <v>4.0202009009986008E-4</v>
      </c>
      <c r="Y23" s="129">
        <f t="shared" si="22"/>
        <v>27</v>
      </c>
      <c r="Z23" s="128">
        <f t="shared" si="23"/>
        <v>1.3</v>
      </c>
      <c r="AA23" s="128">
        <f t="shared" si="24"/>
        <v>75</v>
      </c>
      <c r="AB23" s="127">
        <v>1021</v>
      </c>
      <c r="AC23" s="128">
        <v>4.0202009009986008E-4</v>
      </c>
      <c r="AD23" s="128">
        <v>0</v>
      </c>
      <c r="AE23" s="128">
        <f>AC23</f>
        <v>4.0202009009986008E-4</v>
      </c>
      <c r="AF23" s="129">
        <v>27</v>
      </c>
      <c r="AG23" s="129">
        <v>1.3</v>
      </c>
      <c r="AH23" s="130">
        <v>75</v>
      </c>
      <c r="AI23" s="127">
        <f t="shared" si="25"/>
        <v>1021</v>
      </c>
      <c r="AJ23" s="128">
        <f>AE23</f>
        <v>4.0202009009986008E-4</v>
      </c>
      <c r="AK23" s="128">
        <v>135</v>
      </c>
      <c r="AL23" s="128">
        <f>AJ23</f>
        <v>4.0202009009986008E-4</v>
      </c>
      <c r="AM23" s="129">
        <f t="shared" si="26"/>
        <v>27</v>
      </c>
      <c r="AN23" s="129">
        <f t="shared" si="27"/>
        <v>1.3</v>
      </c>
      <c r="AO23" s="130">
        <f t="shared" si="28"/>
        <v>75</v>
      </c>
    </row>
    <row r="24" spans="2:41" ht="14.5" x14ac:dyDescent="0.35">
      <c r="B24" s="72">
        <v>0.6</v>
      </c>
      <c r="C24" s="73">
        <v>6</v>
      </c>
      <c r="D24" s="74">
        <f>(U24*((($Q$8+$Q$9)/2-$Q$10)/50))*$D$13</f>
        <v>1438</v>
      </c>
      <c r="E24" s="112">
        <f>ROUND(((D24/$D$13)/(($Q$8-$Q$9)*1.163))*$E$13,IF($U$3=1,0,IF($U$3=2,2)))</f>
        <v>124</v>
      </c>
      <c r="F24" s="76">
        <f>($V$23*(E24/$E$13)^$V$25)*$F$13</f>
        <v>2.6401878310136357</v>
      </c>
      <c r="G24" s="75">
        <f>(W24*(($U$10-(($U$8+$U$9)/2))/10)^Q24)*$G$13</f>
        <v>294.79890632708162</v>
      </c>
      <c r="H24" s="75">
        <f>((G24/$G$13)/(IF((237.3*LN(($K$11*EXP(17.27*($U$10/($U$10+237.3))))))/(17.27-LN(($K$11*EXP(17.27*($U$10/($U$10+237.3))))))&lt;(($U$8+$U$9)/2),1,1/(1+((2258*((0.622/((101325/(1*611*EXP(17.27*((($U$8+$U$9)/2)/((($U$8+$U$9)/2)+237.3))))))-1)*1000-(0.622/((101325/($K$11*611*EXP(17.27*($U$10/($U$10+237.3))))))-1)*1000))/(1005*((($U$8+$U$9)/2)-$U$10))))+-((-0.000625*$C24+0.00625)*($U$10-($U$8+$U$9)/2)-(-0.000625*$C24+0.00625)*10))))*$H$13</f>
        <v>397.91023642631183</v>
      </c>
      <c r="I24" s="112">
        <f>ROUND(((H24/$H$13)/(($U$9-$U$8)*1.163))*$I$13,IF($U$3=1,0,IF($U$3=2,2)))</f>
        <v>86</v>
      </c>
      <c r="J24" s="77">
        <f>($X$23*(I24/$I$13)^$X$25)*$J$13</f>
        <v>1.3546772303429622</v>
      </c>
      <c r="K24" s="110">
        <f t="shared" si="16"/>
        <v>29</v>
      </c>
      <c r="L24" s="104">
        <f t="shared" si="17"/>
        <v>37</v>
      </c>
      <c r="M24" s="78">
        <f t="shared" si="17"/>
        <v>2.7</v>
      </c>
      <c r="N24" s="117">
        <f>AA24*$N$13</f>
        <v>98</v>
      </c>
      <c r="O24" s="62"/>
      <c r="Q24" s="138">
        <v>0.79</v>
      </c>
      <c r="U24" s="141">
        <f t="shared" si="18"/>
        <v>1438</v>
      </c>
      <c r="V24" s="123" t="str">
        <f t="shared" si="19"/>
        <v>b</v>
      </c>
      <c r="W24" s="144">
        <f t="shared" si="20"/>
        <v>214</v>
      </c>
      <c r="X24" s="123" t="str">
        <f t="shared" si="21"/>
        <v>b</v>
      </c>
      <c r="Y24" s="129">
        <f t="shared" si="22"/>
        <v>37</v>
      </c>
      <c r="Z24" s="128">
        <f t="shared" si="23"/>
        <v>2.7</v>
      </c>
      <c r="AA24" s="128">
        <f t="shared" si="24"/>
        <v>98</v>
      </c>
      <c r="AB24" s="127">
        <v>1438</v>
      </c>
      <c r="AC24" s="123" t="s">
        <v>58</v>
      </c>
      <c r="AD24" s="128">
        <v>0</v>
      </c>
      <c r="AE24" s="123" t="s">
        <v>58</v>
      </c>
      <c r="AF24" s="129">
        <v>37</v>
      </c>
      <c r="AG24" s="129">
        <v>2.7</v>
      </c>
      <c r="AH24" s="130">
        <v>98</v>
      </c>
      <c r="AI24" s="127">
        <f t="shared" si="25"/>
        <v>1438</v>
      </c>
      <c r="AJ24" s="123" t="s">
        <v>58</v>
      </c>
      <c r="AK24" s="128">
        <v>214</v>
      </c>
      <c r="AL24" s="123" t="s">
        <v>58</v>
      </c>
      <c r="AM24" s="129">
        <f t="shared" si="26"/>
        <v>37</v>
      </c>
      <c r="AN24" s="129">
        <f t="shared" si="27"/>
        <v>2.7</v>
      </c>
      <c r="AO24" s="130">
        <f t="shared" si="28"/>
        <v>98</v>
      </c>
    </row>
    <row r="25" spans="2:41" ht="14.5" x14ac:dyDescent="0.35">
      <c r="B25" s="72">
        <v>0.8</v>
      </c>
      <c r="C25" s="73">
        <v>8</v>
      </c>
      <c r="D25" s="74">
        <f>(U25*((($Q$8+$Q$9)/2-$Q$10)/50))*$D$13</f>
        <v>1834</v>
      </c>
      <c r="E25" s="112">
        <f>ROUND(((D25/$D$13)/(($Q$8-$Q$9)*1.163))*$E$13,IF($U$3=1,0,IF($U$3=2,2)))</f>
        <v>158</v>
      </c>
      <c r="F25" s="76">
        <f>($V$23*(E25/$E$13)^$V$25)*$F$13</f>
        <v>4.1070805473258662</v>
      </c>
      <c r="G25" s="75">
        <f>(W25*(($U$10-(($U$8+$U$9)/2))/10)^Q25)*$G$13</f>
        <v>421.20266119985291</v>
      </c>
      <c r="H25" s="75">
        <f>((G25/$G$13)/(IF((237.3*LN(($K$11*EXP(17.27*($U$10/($U$10+237.3))))))/(17.27-LN(($K$11*EXP(17.27*($U$10/($U$10+237.3))))))&lt;(($U$8+$U$9)/2),1,1/(1+((2258*((0.622/((101325/(1*611*EXP(17.27*((($U$8+$U$9)/2)/((($U$8+$U$9)/2)+237.3))))))-1)*1000-(0.622/((101325/($K$11*611*EXP(17.27*($U$10/($U$10+237.3))))))-1)*1000))/(1005*((($U$8+$U$9)/2)-$U$10))))+-((-0.000625*$C25+0.00625)*($U$10-($U$8+$U$9)/2)-(-0.000625*$C25+0.00625)*10))))*$H$13</f>
        <v>563.77003193548785</v>
      </c>
      <c r="I25" s="112">
        <f>ROUND(((H25/$H$13)/(($U$9-$U$8)*1.163))*$I$13,IF($U$3=1,0,IF($U$3=2,2)))</f>
        <v>121</v>
      </c>
      <c r="J25" s="77">
        <f>($X$23*(I25/$I$13)^$X$25)*$J$13</f>
        <v>2.5248718426825989</v>
      </c>
      <c r="K25" s="110">
        <f t="shared" si="16"/>
        <v>32</v>
      </c>
      <c r="L25" s="104">
        <f t="shared" si="17"/>
        <v>40</v>
      </c>
      <c r="M25" s="78">
        <f t="shared" si="17"/>
        <v>4.5999999999999996</v>
      </c>
      <c r="N25" s="117">
        <f>AA25*$N$13</f>
        <v>125</v>
      </c>
      <c r="O25" s="62"/>
      <c r="Q25" s="138">
        <v>0.87</v>
      </c>
      <c r="U25" s="141">
        <f t="shared" si="18"/>
        <v>1834</v>
      </c>
      <c r="V25" s="128">
        <f t="shared" si="19"/>
        <v>1.8235155847906248</v>
      </c>
      <c r="W25" s="144">
        <f t="shared" si="20"/>
        <v>296</v>
      </c>
      <c r="X25" s="128">
        <f t="shared" si="21"/>
        <v>1.8235155847906248</v>
      </c>
      <c r="Y25" s="129">
        <f t="shared" si="22"/>
        <v>40</v>
      </c>
      <c r="Z25" s="128">
        <f t="shared" si="23"/>
        <v>4.5999999999999996</v>
      </c>
      <c r="AA25" s="128">
        <f t="shared" si="24"/>
        <v>125</v>
      </c>
      <c r="AB25" s="127">
        <v>1834</v>
      </c>
      <c r="AC25" s="128">
        <v>1.8235155847906248</v>
      </c>
      <c r="AD25" s="128">
        <v>0</v>
      </c>
      <c r="AE25" s="128">
        <f>AC25</f>
        <v>1.8235155847906248</v>
      </c>
      <c r="AF25" s="129">
        <v>40</v>
      </c>
      <c r="AG25" s="129">
        <v>4.5999999999999996</v>
      </c>
      <c r="AH25" s="130">
        <v>125</v>
      </c>
      <c r="AI25" s="127">
        <f t="shared" si="25"/>
        <v>1834</v>
      </c>
      <c r="AJ25" s="128">
        <f>AE25</f>
        <v>1.8235155847906248</v>
      </c>
      <c r="AK25" s="128">
        <v>296</v>
      </c>
      <c r="AL25" s="128">
        <f>AJ25</f>
        <v>1.8235155847906248</v>
      </c>
      <c r="AM25" s="129">
        <f t="shared" si="26"/>
        <v>40</v>
      </c>
      <c r="AN25" s="129">
        <f t="shared" si="27"/>
        <v>4.5999999999999996</v>
      </c>
      <c r="AO25" s="130">
        <f t="shared" si="28"/>
        <v>125</v>
      </c>
    </row>
    <row r="26" spans="2:41" ht="14.5" x14ac:dyDescent="0.35">
      <c r="B26" s="72">
        <v>1</v>
      </c>
      <c r="C26" s="73">
        <v>10</v>
      </c>
      <c r="D26" s="74">
        <f>(U26*((($Q$8+$Q$9)/2-$Q$10)/50))*$D$13</f>
        <v>2214</v>
      </c>
      <c r="E26" s="112">
        <f>ROUND(((D26/$D$13)/(($Q$8-$Q$9)*1.163))*$E$13,IF($U$3=1,0,IF($U$3=2,2)))</f>
        <v>190</v>
      </c>
      <c r="F26" s="76">
        <f>($V$23*(E26/$E$13)^$V$25)*$F$13</f>
        <v>5.7489755523942216</v>
      </c>
      <c r="G26" s="75">
        <f>(W26*(($U$10-(($U$8+$U$9)/2))/10)^Q26)*$G$13</f>
        <v>551.02083610202044</v>
      </c>
      <c r="H26" s="75">
        <f>((G26/$G$13)/(IF((237.3*LN(($K$11*EXP(17.27*($U$10/($U$10+237.3))))))/(17.27-LN(($K$11*EXP(17.27*($U$10/($U$10+237.3))))))&lt;(($U$8+$U$9)/2),1,1/(1+((2258*((0.622/((101325/(1*611*EXP(17.27*((($U$8+$U$9)/2)/((($U$8+$U$9)/2)+237.3))))))-1)*1000-(0.622/((101325/($K$11*611*EXP(17.27*($U$10/($U$10+237.3))))))-1)*1000))/(1005*((($U$8+$U$9)/2)-$U$10))))+-((-0.000625*$C26+0.00625)*($U$10-($U$8+$U$9)/2)-(-0.000625*$C26+0.00625)*10))))*$H$13</f>
        <v>731.41006343865126</v>
      </c>
      <c r="I26" s="112">
        <f>ROUND(((H26/$H$13)/(($U$9-$U$8)*1.163))*$I$13,IF($U$3=1,0,IF($U$3=2,2)))</f>
        <v>157</v>
      </c>
      <c r="J26" s="77">
        <f>($X$23*(I26/$I$13)^$X$25)*$J$13</f>
        <v>4.0598033292287363</v>
      </c>
      <c r="K26" s="110">
        <f t="shared" si="16"/>
        <v>37</v>
      </c>
      <c r="L26" s="104">
        <f t="shared" si="17"/>
        <v>45</v>
      </c>
      <c r="M26" s="78">
        <f t="shared" si="17"/>
        <v>7.1</v>
      </c>
      <c r="N26" s="117">
        <f>AA26*$N$13</f>
        <v>160</v>
      </c>
      <c r="O26" s="62"/>
      <c r="Q26" s="138">
        <v>0.91</v>
      </c>
      <c r="U26" s="142">
        <f t="shared" si="18"/>
        <v>2214</v>
      </c>
      <c r="V26" s="132"/>
      <c r="W26" s="145">
        <f t="shared" si="20"/>
        <v>381</v>
      </c>
      <c r="X26" s="132"/>
      <c r="Y26" s="135">
        <f t="shared" si="22"/>
        <v>45</v>
      </c>
      <c r="Z26" s="133">
        <f t="shared" si="23"/>
        <v>7.1</v>
      </c>
      <c r="AA26" s="133">
        <f t="shared" si="24"/>
        <v>160</v>
      </c>
      <c r="AB26" s="131">
        <v>2214</v>
      </c>
      <c r="AC26" s="134"/>
      <c r="AD26" s="133">
        <v>0</v>
      </c>
      <c r="AE26" s="134"/>
      <c r="AF26" s="135">
        <v>45</v>
      </c>
      <c r="AG26" s="135">
        <v>7.1</v>
      </c>
      <c r="AH26" s="136">
        <v>160</v>
      </c>
      <c r="AI26" s="131">
        <f t="shared" si="25"/>
        <v>2214</v>
      </c>
      <c r="AJ26" s="134"/>
      <c r="AK26" s="133">
        <v>381</v>
      </c>
      <c r="AL26" s="134"/>
      <c r="AM26" s="135">
        <f t="shared" si="26"/>
        <v>45</v>
      </c>
      <c r="AN26" s="135">
        <f t="shared" si="27"/>
        <v>7.1</v>
      </c>
      <c r="AO26" s="136">
        <f t="shared" si="28"/>
        <v>160</v>
      </c>
    </row>
    <row r="27" spans="2:41" ht="18" customHeight="1" x14ac:dyDescent="0.35">
      <c r="B27" s="186" t="str">
        <f>IF($Q$5=1,NL!A27,IF(cal!$Q$5=2,EN!A27,IF(cal!$Q$5=3,DE!A27,IF(cal!$Q$5=4,FR!A27,))))</f>
        <v>Clima Canal Height 10 cm Width 18 cm Length 144 cm (Type 3)</v>
      </c>
      <c r="C27" s="187">
        <f>IF($Q$5=1,NL!B27,IF(cal!$Q$5=2,EN!B27,IF(cal!$Q$5=3,DE!B27,IF(cal!$Q$5=4,FR!B27,))))</f>
        <v>0</v>
      </c>
      <c r="D27" s="186">
        <f>IF($Q$5=1,NL!C27,IF(cal!$Q$5=2,EN!C27,IF(cal!$Q$5=3,DE!C27,IF(cal!$Q$5=4,FR!C27,))))</f>
        <v>0</v>
      </c>
      <c r="E27" s="188">
        <f>IF($Q$5=1,NL!D27,IF(cal!$Q$5=2,EN!D27,IF(cal!$Q$5=3,DE!D27,IF(cal!$Q$5=4,FR!D27,))))</f>
        <v>0</v>
      </c>
      <c r="F27" s="187">
        <f>IF($Q$5=1,NL!E27,IF(cal!$Q$5=2,EN!E27,IF(cal!$Q$5=3,DE!E27,IF(cal!$Q$5=4,FR!E27,))))</f>
        <v>0</v>
      </c>
      <c r="G27" s="187">
        <f>IF($Q$5=1,NL!F27,IF(cal!$Q$5=2,EN!F27,IF(cal!$Q$5=3,DE!F27,IF(cal!$Q$5=4,FR!F27,))))</f>
        <v>0</v>
      </c>
      <c r="H27" s="187">
        <f>IF($Q$5=1,NL!G27,IF(cal!$Q$5=2,EN!G27,IF(cal!$Q$5=3,DE!G27,IF(cal!$Q$5=4,FR!G27,))))</f>
        <v>0</v>
      </c>
      <c r="I27" s="187">
        <f>IF($Q$5=1,NL!H27,IF(cal!$Q$5=2,EN!H27,IF(cal!$Q$5=3,DE!H27,IF(cal!$Q$5=4,FR!H27,))))</f>
        <v>0</v>
      </c>
      <c r="J27" s="187">
        <f>IF($Q$5=1,NL!I27,IF(cal!$Q$5=2,EN!I27,IF(cal!$Q$5=3,DE!I27,IF(cal!$Q$5=4,FR!I27,))))</f>
        <v>0</v>
      </c>
      <c r="K27" s="186">
        <f>IF($Q$5=1,NL!J27,IF(cal!$Q$5=2,EN!J27,IF(cal!$Q$5=3,DE!J27,IF(cal!$Q$5=4,FR!J27,))))</f>
        <v>0</v>
      </c>
      <c r="L27" s="187">
        <f>IF($Q$5=1,NL!K27,IF(cal!$Q$5=2,EN!K27,IF(cal!$Q$5=3,DE!K27,IF(cal!$Q$5=4,FR!K27,))))</f>
        <v>0</v>
      </c>
      <c r="M27" s="187">
        <f>IF($Q$5=1,NL!L27,IF(cal!$Q$5=2,EN!L27,IF(cal!$Q$5=3,DE!L27,IF(cal!$Q$5=4,FR!L27,))))</f>
        <v>0</v>
      </c>
      <c r="N27" s="188">
        <f>IF($Q$5=1,NL!M27,IF(cal!$Q$5=2,EN!M27,IF(cal!$Q$5=3,DE!M27,IF(cal!$Q$5=4,FR!M27,))))</f>
        <v>0</v>
      </c>
      <c r="O27" s="62"/>
      <c r="Q27" s="91" t="s">
        <v>11</v>
      </c>
      <c r="U27" s="154" t="s">
        <v>76</v>
      </c>
      <c r="V27" s="155">
        <f t="shared" ref="V27" si="29">IF($U$15=1,AC27,IF($U$15=2,AJ27,IF($U$15=3,AQ27,IF($U$15=4,AX27,IF($U$15=5,BE27,IF($U$15=6,BL27,IF($U$15=7,BS27,IF($U$15=8,BZ27))))))))</f>
        <v>10</v>
      </c>
      <c r="W27" s="154" t="s">
        <v>77</v>
      </c>
      <c r="X27" s="155">
        <f t="shared" ref="X27" si="30">IF($U$15=1,AE27,IF($U$15=2,AL27,IF($U$15=3,AS27,IF($U$15=4,AZ27,IF($U$15=5,BG27,IF($U$15=6,BN27,IF($U$15=7,BU27,IF($U$15=8,CB27))))))))</f>
        <v>18</v>
      </c>
      <c r="Y27" s="154" t="s">
        <v>78</v>
      </c>
      <c r="Z27" s="156">
        <f t="shared" ref="Z27" si="31">IF($U$15=1,AG27,IF($U$15=2,AN27,IF($U$15=3,AU27,IF($U$15=4,BB27,IF($U$15=5,BI27,IF($U$15=6,BP27,IF($U$15=7,BW27,IF($U$15=8,CD27))))))))</f>
        <v>108</v>
      </c>
      <c r="AA27" s="139"/>
      <c r="AB27" s="154" t="s">
        <v>76</v>
      </c>
      <c r="AC27" s="157">
        <f>AC21</f>
        <v>8</v>
      </c>
      <c r="AD27" s="154" t="s">
        <v>77</v>
      </c>
      <c r="AE27" s="157">
        <f>AE21</f>
        <v>18</v>
      </c>
      <c r="AF27" s="154" t="s">
        <v>78</v>
      </c>
      <c r="AG27" s="160">
        <f>108*IF($U$3=1,1,IF($U$3=2,1/2.54))</f>
        <v>108</v>
      </c>
      <c r="AH27" s="139"/>
      <c r="AI27" s="154" t="s">
        <v>76</v>
      </c>
      <c r="AJ27" s="157">
        <f>AJ21</f>
        <v>10</v>
      </c>
      <c r="AK27" s="154" t="s">
        <v>77</v>
      </c>
      <c r="AL27" s="157">
        <f>AL21</f>
        <v>18</v>
      </c>
      <c r="AM27" s="154" t="s">
        <v>78</v>
      </c>
      <c r="AN27" s="159">
        <f>AG27</f>
        <v>108</v>
      </c>
      <c r="AO27" s="139"/>
    </row>
    <row r="28" spans="2:41" ht="14.5" x14ac:dyDescent="0.35">
      <c r="B28" s="72">
        <v>0.2</v>
      </c>
      <c r="C28" s="73">
        <v>2</v>
      </c>
      <c r="D28" s="74">
        <f>(U28*((($Q$8+$Q$9)/2-$Q$10)/50))*$D$13</f>
        <v>894</v>
      </c>
      <c r="E28" s="112">
        <f>ROUND(((D28/$D$13)/(($Q$8-$Q$9)*1.163))*$E$13,IF($U$3=1,0,IF($U$3=2,2)))</f>
        <v>77</v>
      </c>
      <c r="F28" s="76">
        <f>($V$29*(E28/$E$13)^$V$31)*$F$13</f>
        <v>1.5440367777303732</v>
      </c>
      <c r="G28" s="75">
        <f>(W28*(($U$10-(($U$8+$U$9)/2))/10)^Q28)*$G$13</f>
        <v>123.7161765607017</v>
      </c>
      <c r="H28" s="75">
        <f>((G28/$G$13)/(IF((237.3*LN(($K$11*EXP(17.27*($U$10/($U$10+237.3))))))/(17.27-LN(($K$11*EXP(17.27*($U$10/($U$10+237.3))))))&lt;(($U$8+$U$9)/2),1,1/(1+((2258*((0.622/((101325/(1*611*EXP(17.27*((($U$8+$U$9)/2)/((($U$8+$U$9)/2)+237.3))))))-1)*1000-(0.622/((101325/($K$11*611*EXP(17.27*($U$10/($U$10+237.3))))))-1)*1000))/(1005*((($U$8+$U$9)/2)-$U$10))))+-((-0.000625*$C28+0.00625)*($U$10-($U$8+$U$9)/2)-(-0.000625*$C28+0.00625)*10))))*$H$13</f>
        <v>169.85397479849283</v>
      </c>
      <c r="I28" s="112">
        <f>ROUND(((H28/$H$13)/(($U$9-$U$8)*1.163))*$I$13,IF($U$3=1,0,IF($U$3=2,2)))</f>
        <v>37</v>
      </c>
      <c r="J28" s="77">
        <f>($X$29*(I28/$I$13)^$X$31)*$J$13</f>
        <v>0.40574454218717504</v>
      </c>
      <c r="K28" s="110">
        <f t="shared" ref="K28:K32" si="32">L28-8</f>
        <v>16</v>
      </c>
      <c r="L28" s="104">
        <f t="shared" ref="L28:M32" si="33">Y28</f>
        <v>24</v>
      </c>
      <c r="M28" s="78">
        <f t="shared" si="33"/>
        <v>1.1000000000000001</v>
      </c>
      <c r="N28" s="117">
        <f>AA28*$N$13</f>
        <v>66</v>
      </c>
      <c r="O28" s="62"/>
      <c r="Q28" s="138">
        <v>0.6</v>
      </c>
      <c r="U28" s="140">
        <f t="shared" ref="U28:U32" si="34">IF($U$15=1,AB28,IF($U$15=2,AI28))</f>
        <v>894</v>
      </c>
      <c r="V28" s="123" t="str">
        <f t="shared" ref="V28:V31" si="35">IF($U$15=1,AC28,IF($U$15=2,AJ28))</f>
        <v>a</v>
      </c>
      <c r="W28" s="143">
        <f t="shared" ref="W28:W32" si="36">IF($U$15=1,AD28,IF($U$15=2,AK28))</f>
        <v>97</v>
      </c>
      <c r="X28" s="123" t="str">
        <f t="shared" ref="X28:X31" si="37">IF($U$15=1,AE28,IF($U$15=2,AL28))</f>
        <v>a</v>
      </c>
      <c r="Y28" s="125">
        <f t="shared" ref="Y28:Y32" si="38">IF($U$15=1,AF28,IF($U$15=2,AM28))</f>
        <v>24</v>
      </c>
      <c r="Z28" s="124">
        <f t="shared" ref="Z28:Z32" si="39">IF($U$15=1,AG28,IF($U$15=2,AN28))</f>
        <v>1.1000000000000001</v>
      </c>
      <c r="AA28" s="124">
        <f t="shared" ref="AA28:AA32" si="40">IF($U$15=1,AH28,IF($U$15=2,AO28))</f>
        <v>66</v>
      </c>
      <c r="AB28" s="122">
        <v>894</v>
      </c>
      <c r="AC28" s="123" t="s">
        <v>57</v>
      </c>
      <c r="AD28" s="124">
        <v>0</v>
      </c>
      <c r="AE28" s="123" t="s">
        <v>57</v>
      </c>
      <c r="AF28" s="125">
        <v>24</v>
      </c>
      <c r="AG28" s="125">
        <v>1.1000000000000001</v>
      </c>
      <c r="AH28" s="126">
        <v>66</v>
      </c>
      <c r="AI28" s="122">
        <f t="shared" ref="AI28:AI32" si="41">AB28</f>
        <v>894</v>
      </c>
      <c r="AJ28" s="123" t="s">
        <v>57</v>
      </c>
      <c r="AK28" s="124">
        <v>97</v>
      </c>
      <c r="AL28" s="123" t="s">
        <v>57</v>
      </c>
      <c r="AM28" s="125">
        <f t="shared" ref="AM28:AM32" si="42">AF28</f>
        <v>24</v>
      </c>
      <c r="AN28" s="125">
        <f t="shared" ref="AN28:AN32" si="43">AG28</f>
        <v>1.1000000000000001</v>
      </c>
      <c r="AO28" s="126">
        <f t="shared" ref="AO28:AO32" si="44">AH28</f>
        <v>66</v>
      </c>
    </row>
    <row r="29" spans="2:41" ht="14.5" x14ac:dyDescent="0.35">
      <c r="B29" s="72">
        <v>0.4</v>
      </c>
      <c r="C29" s="73">
        <v>4</v>
      </c>
      <c r="D29" s="74">
        <f>(U29*((($Q$8+$Q$9)/2-$Q$10)/50))*$D$13</f>
        <v>1605</v>
      </c>
      <c r="E29" s="112">
        <f>ROUND(((D29/$D$13)/(($Q$8-$Q$9)*1.163))*$E$13,IF($U$3=1,0,IF($U$3=2,2)))</f>
        <v>138</v>
      </c>
      <c r="F29" s="76">
        <f>($V$29*(E29/$E$13)^$V$31)*$F$13</f>
        <v>4.474198690624589</v>
      </c>
      <c r="G29" s="75">
        <f>(W29*(($U$10-(($U$8+$U$9)/2))/10)^Q29)*$G$13</f>
        <v>279.30448984906474</v>
      </c>
      <c r="H29" s="75">
        <f>((G29/$G$13)/(IF((237.3*LN(($K$11*EXP(17.27*($U$10/($U$10+237.3))))))/(17.27-LN(($K$11*EXP(17.27*($U$10/($U$10+237.3))))))&lt;(($U$8+$U$9)/2),1,1/(1+((2258*((0.622/((101325/(1*611*EXP(17.27*((($U$8+$U$9)/2)/((($U$8+$U$9)/2)+237.3))))))-1)*1000-(0.622/((101325/($K$11*611*EXP(17.27*($U$10/($U$10+237.3))))))-1)*1000))/(1005*((($U$8+$U$9)/2)-$U$10))))+-((-0.000625*$C29+0.00625)*($U$10-($U$8+$U$9)/2)-(-0.000625*$C29+0.00625)*10))))*$H$13</f>
        <v>380.20378227594784</v>
      </c>
      <c r="I29" s="112">
        <f>ROUND(((H29/$H$13)/(($U$9-$U$8)*1.163))*$I$13,IF($U$3=1,0,IF($U$3=2,2)))</f>
        <v>82</v>
      </c>
      <c r="J29" s="77">
        <f>($X$29*(I29/$I$13)^$X$31)*$J$13</f>
        <v>1.7317364132741835</v>
      </c>
      <c r="K29" s="110">
        <f t="shared" si="32"/>
        <v>20</v>
      </c>
      <c r="L29" s="104">
        <f t="shared" si="33"/>
        <v>28</v>
      </c>
      <c r="M29" s="78">
        <f t="shared" si="33"/>
        <v>2.1</v>
      </c>
      <c r="N29" s="117">
        <f>AA29*$N$13</f>
        <v>112</v>
      </c>
      <c r="O29" s="62"/>
      <c r="Q29" s="138">
        <v>0.68</v>
      </c>
      <c r="U29" s="141">
        <f t="shared" si="34"/>
        <v>1605</v>
      </c>
      <c r="V29" s="128">
        <f t="shared" si="35"/>
        <v>5.6054747775989447E-4</v>
      </c>
      <c r="W29" s="144">
        <f t="shared" si="36"/>
        <v>212</v>
      </c>
      <c r="X29" s="128">
        <f t="shared" si="37"/>
        <v>5.6054747775989447E-4</v>
      </c>
      <c r="Y29" s="129">
        <f t="shared" si="38"/>
        <v>28</v>
      </c>
      <c r="Z29" s="128">
        <f t="shared" si="39"/>
        <v>2.1</v>
      </c>
      <c r="AA29" s="128">
        <f t="shared" si="40"/>
        <v>112</v>
      </c>
      <c r="AB29" s="127">
        <v>1605</v>
      </c>
      <c r="AC29" s="128">
        <v>5.6054747775989447E-4</v>
      </c>
      <c r="AD29" s="128">
        <v>0</v>
      </c>
      <c r="AE29" s="128">
        <f>AC29</f>
        <v>5.6054747775989447E-4</v>
      </c>
      <c r="AF29" s="129">
        <v>28</v>
      </c>
      <c r="AG29" s="129">
        <v>2.1</v>
      </c>
      <c r="AH29" s="130">
        <v>112</v>
      </c>
      <c r="AI29" s="127">
        <f t="shared" si="41"/>
        <v>1605</v>
      </c>
      <c r="AJ29" s="128">
        <f>AE29</f>
        <v>5.6054747775989447E-4</v>
      </c>
      <c r="AK29" s="128">
        <v>212</v>
      </c>
      <c r="AL29" s="128">
        <f>AJ29</f>
        <v>5.6054747775989447E-4</v>
      </c>
      <c r="AM29" s="129">
        <f t="shared" si="42"/>
        <v>28</v>
      </c>
      <c r="AN29" s="129">
        <f t="shared" si="43"/>
        <v>2.1</v>
      </c>
      <c r="AO29" s="130">
        <f t="shared" si="44"/>
        <v>112</v>
      </c>
    </row>
    <row r="30" spans="2:41" ht="14.5" x14ac:dyDescent="0.35">
      <c r="B30" s="72">
        <v>0.6</v>
      </c>
      <c r="C30" s="73">
        <v>6</v>
      </c>
      <c r="D30" s="74">
        <f>(U30*((($Q$8+$Q$9)/2-$Q$10)/50))*$D$13</f>
        <v>2260</v>
      </c>
      <c r="E30" s="112">
        <f>ROUND(((D30/$D$13)/(($Q$8-$Q$9)*1.163))*$E$13,IF($U$3=1,0,IF($U$3=2,2)))</f>
        <v>194</v>
      </c>
      <c r="F30" s="76">
        <f>($V$29*(E30/$E$13)^$V$31)*$F$13</f>
        <v>8.3263471164262164</v>
      </c>
      <c r="G30" s="75">
        <f>(W30*(($U$10-(($U$8+$U$9)/2))/10)^Q30)*$G$13</f>
        <v>462.86183423317487</v>
      </c>
      <c r="H30" s="75">
        <f>((G30/$G$13)/(IF((237.3*LN(($K$11*EXP(17.27*($U$10/($U$10+237.3))))))/(17.27-LN(($K$11*EXP(17.27*($U$10/($U$10+237.3))))))&lt;(($U$8+$U$9)/2),1,1/(1+((2258*((0.622/((101325/(1*611*EXP(17.27*((($U$8+$U$9)/2)/((($U$8+$U$9)/2)+237.3))))))-1)*1000-(0.622/((101325/($K$11*611*EXP(17.27*($U$10/($U$10+237.3))))))-1)*1000))/(1005*((($U$8+$U$9)/2)-$U$10))))+-((-0.000625*$C30+0.00625)*($U$10-($U$8+$U$9)/2)-(-0.000625*$C30+0.00625)*10))))*$H$13</f>
        <v>624.75625906187281</v>
      </c>
      <c r="I30" s="112">
        <f>ROUND(((H30/$H$13)/(($U$9-$U$8)*1.163))*$I$13,IF($U$3=1,0,IF($U$3=2,2)))</f>
        <v>134</v>
      </c>
      <c r="J30" s="77">
        <f>($X$29*(I30/$I$13)^$X$31)*$J$13</f>
        <v>4.240539891601208</v>
      </c>
      <c r="K30" s="110">
        <f t="shared" si="32"/>
        <v>30</v>
      </c>
      <c r="L30" s="104">
        <f t="shared" si="33"/>
        <v>38</v>
      </c>
      <c r="M30" s="78">
        <f t="shared" si="33"/>
        <v>4</v>
      </c>
      <c r="N30" s="117">
        <f>AA30*$N$13</f>
        <v>150</v>
      </c>
      <c r="O30" s="62"/>
      <c r="Q30" s="138">
        <v>0.79</v>
      </c>
      <c r="U30" s="141">
        <f t="shared" si="34"/>
        <v>2260</v>
      </c>
      <c r="V30" s="123" t="str">
        <f t="shared" si="35"/>
        <v>b</v>
      </c>
      <c r="W30" s="144">
        <f t="shared" si="36"/>
        <v>336</v>
      </c>
      <c r="X30" s="123" t="str">
        <f t="shared" si="37"/>
        <v>b</v>
      </c>
      <c r="Y30" s="129">
        <f t="shared" si="38"/>
        <v>38</v>
      </c>
      <c r="Z30" s="128">
        <f t="shared" si="39"/>
        <v>4</v>
      </c>
      <c r="AA30" s="128">
        <f t="shared" si="40"/>
        <v>150</v>
      </c>
      <c r="AB30" s="127">
        <v>2260</v>
      </c>
      <c r="AC30" s="123" t="s">
        <v>58</v>
      </c>
      <c r="AD30" s="128">
        <v>0</v>
      </c>
      <c r="AE30" s="123" t="s">
        <v>58</v>
      </c>
      <c r="AF30" s="129">
        <v>38</v>
      </c>
      <c r="AG30" s="129">
        <v>4</v>
      </c>
      <c r="AH30" s="130">
        <v>150</v>
      </c>
      <c r="AI30" s="127">
        <f t="shared" si="41"/>
        <v>2260</v>
      </c>
      <c r="AJ30" s="123" t="s">
        <v>58</v>
      </c>
      <c r="AK30" s="128">
        <v>336</v>
      </c>
      <c r="AL30" s="123" t="s">
        <v>58</v>
      </c>
      <c r="AM30" s="129">
        <f t="shared" si="42"/>
        <v>38</v>
      </c>
      <c r="AN30" s="129">
        <f t="shared" si="43"/>
        <v>4</v>
      </c>
      <c r="AO30" s="130">
        <f t="shared" si="44"/>
        <v>150</v>
      </c>
    </row>
    <row r="31" spans="2:41" ht="14.5" x14ac:dyDescent="0.35">
      <c r="B31" s="72">
        <v>0.8</v>
      </c>
      <c r="C31" s="73">
        <v>8</v>
      </c>
      <c r="D31" s="74">
        <f>(U31*((($Q$8+$Q$9)/2-$Q$10)/50))*$D$13</f>
        <v>2881</v>
      </c>
      <c r="E31" s="112">
        <f>ROUND(((D31/$D$13)/(($Q$8-$Q$9)*1.163))*$E$13,IF($U$3=1,0,IF($U$3=2,2)))</f>
        <v>248</v>
      </c>
      <c r="F31" s="76">
        <f>($V$29*(E31/$E$13)^$V$31)*$F$13</f>
        <v>13.029638294461293</v>
      </c>
      <c r="G31" s="75">
        <f>(W31*(($U$10-(($U$8+$U$9)/2))/10)^Q31)*$G$13</f>
        <v>661.6866130335527</v>
      </c>
      <c r="H31" s="75">
        <f>((G31/$G$13)/(IF((237.3*LN(($K$11*EXP(17.27*($U$10/($U$10+237.3))))))/(17.27-LN(($K$11*EXP(17.27*($U$10/($U$10+237.3))))))&lt;(($U$8+$U$9)/2),1,1/(1+((2258*((0.622/((101325/(1*611*EXP(17.27*((($U$8+$U$9)/2)/((($U$8+$U$9)/2)+237.3))))))-1)*1000-(0.622/((101325/($K$11*611*EXP(17.27*($U$10/($U$10+237.3))))))-1)*1000))/(1005*((($U$8+$U$9)/2)-$U$10))))+-((-0.000625*$C31+0.00625)*($U$10-($U$8+$U$9)/2)-(-0.000625*$C31+0.00625)*10))))*$H$13</f>
        <v>885.6522461148711</v>
      </c>
      <c r="I31" s="112">
        <f>ROUND(((H31/$H$13)/(($U$9-$U$8)*1.163))*$I$13,IF($U$3=1,0,IF($U$3=2,2)))</f>
        <v>190</v>
      </c>
      <c r="J31" s="77">
        <f>($X$29*(I31/$I$13)^$X$31)*$J$13</f>
        <v>8.0159520008002669</v>
      </c>
      <c r="K31" s="110">
        <f t="shared" si="32"/>
        <v>35</v>
      </c>
      <c r="L31" s="104">
        <f t="shared" si="33"/>
        <v>43</v>
      </c>
      <c r="M31" s="78">
        <f t="shared" si="33"/>
        <v>6.6</v>
      </c>
      <c r="N31" s="117">
        <f>AA31*$N$13</f>
        <v>193</v>
      </c>
      <c r="O31" s="62"/>
      <c r="Q31" s="138">
        <v>0.87</v>
      </c>
      <c r="U31" s="141">
        <f t="shared" si="34"/>
        <v>2881</v>
      </c>
      <c r="V31" s="128">
        <f t="shared" si="35"/>
        <v>1.8235155847906248</v>
      </c>
      <c r="W31" s="144">
        <f t="shared" si="36"/>
        <v>465</v>
      </c>
      <c r="X31" s="128">
        <f t="shared" si="37"/>
        <v>1.8235155847906248</v>
      </c>
      <c r="Y31" s="129">
        <f t="shared" si="38"/>
        <v>43</v>
      </c>
      <c r="Z31" s="128">
        <f t="shared" si="39"/>
        <v>6.6</v>
      </c>
      <c r="AA31" s="128">
        <f t="shared" si="40"/>
        <v>193</v>
      </c>
      <c r="AB31" s="127">
        <v>2881</v>
      </c>
      <c r="AC31" s="128">
        <v>1.8235155847906248</v>
      </c>
      <c r="AD31" s="128">
        <v>0</v>
      </c>
      <c r="AE31" s="128">
        <f>AC31</f>
        <v>1.8235155847906248</v>
      </c>
      <c r="AF31" s="129">
        <v>43</v>
      </c>
      <c r="AG31" s="129">
        <v>6.6</v>
      </c>
      <c r="AH31" s="130">
        <v>193</v>
      </c>
      <c r="AI31" s="127">
        <f t="shared" si="41"/>
        <v>2881</v>
      </c>
      <c r="AJ31" s="128">
        <f>AE31</f>
        <v>1.8235155847906248</v>
      </c>
      <c r="AK31" s="128">
        <v>465</v>
      </c>
      <c r="AL31" s="128">
        <f>AJ31</f>
        <v>1.8235155847906248</v>
      </c>
      <c r="AM31" s="129">
        <f t="shared" si="42"/>
        <v>43</v>
      </c>
      <c r="AN31" s="129">
        <f t="shared" si="43"/>
        <v>6.6</v>
      </c>
      <c r="AO31" s="130">
        <f t="shared" si="44"/>
        <v>193</v>
      </c>
    </row>
    <row r="32" spans="2:41" ht="14.5" x14ac:dyDescent="0.35">
      <c r="B32" s="72">
        <v>1</v>
      </c>
      <c r="C32" s="73">
        <v>10</v>
      </c>
      <c r="D32" s="74">
        <f>(U32*((($Q$8+$Q$9)/2-$Q$10)/50))*$D$13</f>
        <v>3479</v>
      </c>
      <c r="E32" s="112">
        <f>ROUND(((D32/$D$13)/(($Q$8-$Q$9)*1.163))*$E$13,IF($U$3=1,0,IF($U$3=2,2)))</f>
        <v>299</v>
      </c>
      <c r="F32" s="76">
        <f>($V$29*(E32/$E$13)^$V$31)*$F$13</f>
        <v>18.324722113909107</v>
      </c>
      <c r="G32" s="75">
        <f>(W32*(($U$10-(($U$8+$U$9)/2))/10)^Q32)*$G$13</f>
        <v>864.85685036485097</v>
      </c>
      <c r="H32" s="75">
        <f>((G32/$G$13)/(IF((237.3*LN(($K$11*EXP(17.27*($U$10/($U$10+237.3))))))/(17.27-LN(($K$11*EXP(17.27*($U$10/($U$10+237.3))))))&lt;(($U$8+$U$9)/2),1,1/(1+((2258*((0.622/((101325/(1*611*EXP(17.27*((($U$8+$U$9)/2)/((($U$8+$U$9)/2)+237.3))))))-1)*1000-(0.622/((101325/($K$11*611*EXP(17.27*($U$10/($U$10+237.3))))))-1)*1000))/(1005*((($U$8+$U$9)/2)-$U$10))))+-((-0.000625*$C32+0.00625)*($U$10-($U$8+$U$9)/2)-(-0.000625*$C32+0.00625)*10))))*$H$13</f>
        <v>1147.9874486517413</v>
      </c>
      <c r="I32" s="112">
        <f>ROUND(((H32/$H$13)/(($U$9-$U$8)*1.163))*$I$13,IF($U$3=1,0,IF($U$3=2,2)))</f>
        <v>247</v>
      </c>
      <c r="J32" s="77">
        <f>($X$29*(I32/$I$13)^$X$31)*$J$13</f>
        <v>12.933991961840464</v>
      </c>
      <c r="K32" s="110">
        <f t="shared" si="32"/>
        <v>39</v>
      </c>
      <c r="L32" s="104">
        <f t="shared" si="33"/>
        <v>47</v>
      </c>
      <c r="M32" s="78">
        <f t="shared" si="33"/>
        <v>10.1</v>
      </c>
      <c r="N32" s="117">
        <f>AA32*$N$13</f>
        <v>239</v>
      </c>
      <c r="O32" s="62"/>
      <c r="Q32" s="138">
        <v>0.91</v>
      </c>
      <c r="U32" s="142">
        <f t="shared" si="34"/>
        <v>3479</v>
      </c>
      <c r="V32" s="132"/>
      <c r="W32" s="145">
        <f t="shared" si="36"/>
        <v>598</v>
      </c>
      <c r="X32" s="132"/>
      <c r="Y32" s="135">
        <f t="shared" si="38"/>
        <v>47</v>
      </c>
      <c r="Z32" s="133">
        <f t="shared" si="39"/>
        <v>10.1</v>
      </c>
      <c r="AA32" s="133">
        <f t="shared" si="40"/>
        <v>239</v>
      </c>
      <c r="AB32" s="131">
        <v>3479</v>
      </c>
      <c r="AC32" s="134"/>
      <c r="AD32" s="133">
        <v>0</v>
      </c>
      <c r="AE32" s="134"/>
      <c r="AF32" s="135">
        <v>47</v>
      </c>
      <c r="AG32" s="135">
        <v>10.1</v>
      </c>
      <c r="AH32" s="136">
        <v>239</v>
      </c>
      <c r="AI32" s="131">
        <f t="shared" si="41"/>
        <v>3479</v>
      </c>
      <c r="AJ32" s="134"/>
      <c r="AK32" s="133">
        <v>598</v>
      </c>
      <c r="AL32" s="134"/>
      <c r="AM32" s="135">
        <f t="shared" si="42"/>
        <v>47</v>
      </c>
      <c r="AN32" s="135">
        <f t="shared" si="43"/>
        <v>10.1</v>
      </c>
      <c r="AO32" s="136">
        <f t="shared" si="44"/>
        <v>239</v>
      </c>
    </row>
    <row r="33" spans="2:41" ht="16.899999999999999" customHeight="1" x14ac:dyDescent="0.35">
      <c r="B33" s="186" t="str">
        <f>IF($Q$5=1,NL!A33,IF(cal!$Q$5=2,EN!A33,IF(cal!$Q$5=3,DE!A33,IF(cal!$Q$5=4,FR!A33,))))</f>
        <v>Clima Canal Height 10 cm Width 18 cm Length 180 cm (Type 4)</v>
      </c>
      <c r="C33" s="187">
        <f>IF($Q$5=1,NL!B33,IF(cal!$Q$5=2,EN!B33,IF(cal!$Q$5=3,DE!B33,IF(cal!$Q$5=4,FR!B33,))))</f>
        <v>0</v>
      </c>
      <c r="D33" s="186">
        <f>IF($Q$5=1,NL!C33,IF(cal!$Q$5=2,EN!C33,IF(cal!$Q$5=3,DE!C33,IF(cal!$Q$5=4,FR!C33,))))</f>
        <v>0</v>
      </c>
      <c r="E33" s="188">
        <f>IF($Q$5=1,NL!D33,IF(cal!$Q$5=2,EN!D33,IF(cal!$Q$5=3,DE!D33,IF(cal!$Q$5=4,FR!D33,))))</f>
        <v>0</v>
      </c>
      <c r="F33" s="187">
        <f>IF($Q$5=1,NL!E33,IF(cal!$Q$5=2,EN!E33,IF(cal!$Q$5=3,DE!E33,IF(cal!$Q$5=4,FR!E33,))))</f>
        <v>0</v>
      </c>
      <c r="G33" s="187">
        <f>IF($Q$5=1,NL!F33,IF(cal!$Q$5=2,EN!F33,IF(cal!$Q$5=3,DE!F33,IF(cal!$Q$5=4,FR!F33,))))</f>
        <v>0</v>
      </c>
      <c r="H33" s="187">
        <f>IF($Q$5=1,NL!G33,IF(cal!$Q$5=2,EN!G33,IF(cal!$Q$5=3,DE!G33,IF(cal!$Q$5=4,FR!G33,))))</f>
        <v>0</v>
      </c>
      <c r="I33" s="187">
        <f>IF($Q$5=1,NL!H33,IF(cal!$Q$5=2,EN!H33,IF(cal!$Q$5=3,DE!H33,IF(cal!$Q$5=4,FR!H33,))))</f>
        <v>0</v>
      </c>
      <c r="J33" s="187">
        <f>IF($Q$5=1,NL!I33,IF(cal!$Q$5=2,EN!I33,IF(cal!$Q$5=3,DE!I33,IF(cal!$Q$5=4,FR!I33,))))</f>
        <v>0</v>
      </c>
      <c r="K33" s="186">
        <f>IF($Q$5=1,NL!J33,IF(cal!$Q$5=2,EN!J33,IF(cal!$Q$5=3,DE!J33,IF(cal!$Q$5=4,FR!J33,))))</f>
        <v>0</v>
      </c>
      <c r="L33" s="187">
        <f>IF($Q$5=1,NL!K33,IF(cal!$Q$5=2,EN!K33,IF(cal!$Q$5=3,DE!K33,IF(cal!$Q$5=4,FR!K33,))))</f>
        <v>0</v>
      </c>
      <c r="M33" s="187">
        <f>IF($Q$5=1,NL!L33,IF(cal!$Q$5=2,EN!L33,IF(cal!$Q$5=3,DE!L33,IF(cal!$Q$5=4,FR!L33,))))</f>
        <v>0</v>
      </c>
      <c r="N33" s="188">
        <f>IF($Q$5=1,NL!M33,IF(cal!$Q$5=2,EN!M33,IF(cal!$Q$5=3,DE!M33,IF(cal!$Q$5=4,FR!M33,))))</f>
        <v>0</v>
      </c>
      <c r="O33" s="62"/>
      <c r="Q33" s="91" t="s">
        <v>11</v>
      </c>
      <c r="U33" s="154" t="s">
        <v>76</v>
      </c>
      <c r="V33" s="155">
        <f t="shared" ref="V33" si="45">IF($U$15=1,AC33,IF($U$15=2,AJ33,IF($U$15=3,AQ33,IF($U$15=4,AX33,IF($U$15=5,BE33,IF($U$15=6,BL33,IF($U$15=7,BS33,IF($U$15=8,BZ33))))))))</f>
        <v>10</v>
      </c>
      <c r="W33" s="154" t="s">
        <v>77</v>
      </c>
      <c r="X33" s="155">
        <f t="shared" ref="X33" si="46">IF($U$15=1,AE33,IF($U$15=2,AL33,IF($U$15=3,AS33,IF($U$15=4,AZ33,IF($U$15=5,BG33,IF($U$15=6,BN33,IF($U$15=7,BU33,IF($U$15=8,CB33))))))))</f>
        <v>18</v>
      </c>
      <c r="Y33" s="154" t="s">
        <v>78</v>
      </c>
      <c r="Z33" s="156">
        <f t="shared" ref="Z33" si="47">IF($U$15=1,AG33,IF($U$15=2,AN33,IF($U$15=3,AU33,IF($U$15=4,BB33,IF($U$15=5,BI33,IF($U$15=6,BP33,IF($U$15=7,BW33,IF($U$15=8,CD33))))))))</f>
        <v>144</v>
      </c>
      <c r="AA33" s="139"/>
      <c r="AB33" s="154" t="s">
        <v>76</v>
      </c>
      <c r="AC33" s="157">
        <f>AC27</f>
        <v>8</v>
      </c>
      <c r="AD33" s="154" t="s">
        <v>77</v>
      </c>
      <c r="AE33" s="157">
        <f>AE27</f>
        <v>18</v>
      </c>
      <c r="AF33" s="154" t="s">
        <v>78</v>
      </c>
      <c r="AG33" s="160">
        <f>144*IF($U$3=1,1,IF($U$3=2,1/2.54))</f>
        <v>144</v>
      </c>
      <c r="AH33" s="139"/>
      <c r="AI33" s="154" t="s">
        <v>76</v>
      </c>
      <c r="AJ33" s="157">
        <f>AJ27</f>
        <v>10</v>
      </c>
      <c r="AK33" s="154" t="s">
        <v>77</v>
      </c>
      <c r="AL33" s="157">
        <f>AL27</f>
        <v>18</v>
      </c>
      <c r="AM33" s="154" t="s">
        <v>78</v>
      </c>
      <c r="AN33" s="159">
        <f>AG33</f>
        <v>144</v>
      </c>
      <c r="AO33" s="139"/>
    </row>
    <row r="34" spans="2:41" ht="14.5" x14ac:dyDescent="0.35">
      <c r="B34" s="72">
        <v>0.2</v>
      </c>
      <c r="C34" s="73">
        <v>2</v>
      </c>
      <c r="D34" s="74">
        <f>(U34*((($Q$8+$Q$9)/2-$Q$10)/50))*$D$13</f>
        <v>1219</v>
      </c>
      <c r="E34" s="112">
        <f>ROUND(((D34/$D$13)/(($Q$8-$Q$9)*1.163))*$E$13,IF($U$3=1,0,IF($U$3=2,2)))</f>
        <v>105</v>
      </c>
      <c r="F34" s="76">
        <f>($V$35*(E34/$E$13)^$V$37)*$F$13</f>
        <v>3.587900799418914</v>
      </c>
      <c r="G34" s="75">
        <f>(W34*(($U$10-(($U$8+$U$9)/2))/10)^Q34)*$G$13</f>
        <v>168.35603408260437</v>
      </c>
      <c r="H34" s="75">
        <f>((G34/$G$13)/(IF((237.3*LN(($K$11*EXP(17.27*($U$10/($U$10+237.3))))))/(17.27-LN(($K$11*EXP(17.27*($U$10/($U$10+237.3))))))&lt;(($U$8+$U$9)/2),1,1/(1+((2258*((0.622/((101325/(1*611*EXP(17.27*((($U$8+$U$9)/2)/((($U$8+$U$9)/2)+237.3))))))-1)*1000-(0.622/((101325/($K$11*611*EXP(17.27*($U$10/($U$10+237.3))))))-1)*1000))/(1005*((($U$8+$U$9)/2)-$U$10))))+-((-0.000625*$C34+0.00625)*($U$10-($U$8+$U$9)/2)-(-0.000625*$C34+0.00625)*10))))*$H$13</f>
        <v>231.14149147836136</v>
      </c>
      <c r="I34" s="112">
        <f>ROUND(((H34/$H$13)/(($U$9-$U$8)*1.163))*$I$13,IF($U$3=1,0,IF($U$3=2,2)))</f>
        <v>50</v>
      </c>
      <c r="J34" s="77">
        <f>($X$35*(I34/$I$13)^$X$37)*$J$13</f>
        <v>0.92740305292269809</v>
      </c>
      <c r="K34" s="110">
        <f t="shared" ref="K34:K38" si="48">L34-8</f>
        <v>18</v>
      </c>
      <c r="L34" s="104">
        <f t="shared" ref="L34:M38" si="49">Y34</f>
        <v>26</v>
      </c>
      <c r="M34" s="78">
        <f t="shared" si="49"/>
        <v>1.2</v>
      </c>
      <c r="N34" s="117">
        <f>AA34*$N$13</f>
        <v>84</v>
      </c>
      <c r="O34" s="62"/>
      <c r="Q34" s="138">
        <v>0.6</v>
      </c>
      <c r="U34" s="140">
        <f t="shared" ref="U34:U38" si="50">IF($U$15=1,AB34,IF($U$15=2,AI34))</f>
        <v>1219</v>
      </c>
      <c r="V34" s="123" t="str">
        <f t="shared" ref="V34:V37" si="51">IF($U$15=1,AC34,IF($U$15=2,AJ34))</f>
        <v>a</v>
      </c>
      <c r="W34" s="143">
        <f t="shared" ref="W34:W38" si="52">IF($U$15=1,AD34,IF($U$15=2,AK34))</f>
        <v>132</v>
      </c>
      <c r="X34" s="123" t="str">
        <f t="shared" ref="X34:X37" si="53">IF($U$15=1,AE34,IF($U$15=2,AL34))</f>
        <v>a</v>
      </c>
      <c r="Y34" s="125">
        <f t="shared" ref="Y34:Y38" si="54">IF($U$15=1,AF34,IF($U$15=2,AM34))</f>
        <v>26</v>
      </c>
      <c r="Z34" s="124">
        <f t="shared" ref="Z34:Z38" si="55">IF($U$15=1,AG34,IF($U$15=2,AN34))</f>
        <v>1.2</v>
      </c>
      <c r="AA34" s="124">
        <f t="shared" ref="AA34:AA38" si="56">IF($U$15=1,AH34,IF($U$15=2,AO34))</f>
        <v>84</v>
      </c>
      <c r="AB34" s="122">
        <v>1219</v>
      </c>
      <c r="AC34" s="123" t="s">
        <v>57</v>
      </c>
      <c r="AD34" s="124">
        <v>0</v>
      </c>
      <c r="AE34" s="123" t="s">
        <v>57</v>
      </c>
      <c r="AF34" s="125">
        <v>26</v>
      </c>
      <c r="AG34" s="125">
        <v>1.2</v>
      </c>
      <c r="AH34" s="126">
        <v>84</v>
      </c>
      <c r="AI34" s="122">
        <f t="shared" ref="AI34:AI38" si="57">AB34</f>
        <v>1219</v>
      </c>
      <c r="AJ34" s="123" t="s">
        <v>57</v>
      </c>
      <c r="AK34" s="124">
        <v>132</v>
      </c>
      <c r="AL34" s="123" t="s">
        <v>57</v>
      </c>
      <c r="AM34" s="125">
        <f t="shared" ref="AM34:AM38" si="58">AF34</f>
        <v>26</v>
      </c>
      <c r="AN34" s="125">
        <f t="shared" ref="AN34:AN38" si="59">AG34</f>
        <v>1.2</v>
      </c>
      <c r="AO34" s="126">
        <f t="shared" ref="AO34:AO38" si="60">AH34</f>
        <v>84</v>
      </c>
    </row>
    <row r="35" spans="2:41" ht="14.5" x14ac:dyDescent="0.35">
      <c r="B35" s="72">
        <v>0.4</v>
      </c>
      <c r="C35" s="73">
        <v>4</v>
      </c>
      <c r="D35" s="74">
        <f>(U35*((($Q$8+$Q$9)/2-$Q$10)/50))*$D$13</f>
        <v>2188</v>
      </c>
      <c r="E35" s="112">
        <f>ROUND(((D35/$D$13)/(($Q$8-$Q$9)*1.163))*$E$13,IF($U$3=1,0,IF($U$3=2,2)))</f>
        <v>188</v>
      </c>
      <c r="F35" s="76">
        <f>($V$35*(E35/$E$13)^$V$37)*$F$13</f>
        <v>10.378450555647397</v>
      </c>
      <c r="G35" s="75">
        <f>(W35*(($U$10-(($U$8+$U$9)/2))/10)^Q35)*$G$13</f>
        <v>382.06746252938103</v>
      </c>
      <c r="H35" s="75">
        <f>((G35/$G$13)/(IF((237.3*LN(($K$11*EXP(17.27*($U$10/($U$10+237.3))))))/(17.27-LN(($K$11*EXP(17.27*($U$10/($U$10+237.3))))))&lt;(($U$8+$U$9)/2),1,1/(1+((2258*((0.622/((101325/(1*611*EXP(17.27*((($U$8+$U$9)/2)/((($U$8+$U$9)/2)+237.3))))))-1)*1000-(0.622/((101325/($K$11*611*EXP(17.27*($U$10/($U$10+237.3))))))-1)*1000))/(1005*((($U$8+$U$9)/2)-$U$10))))+-((-0.000625*$C35+0.00625)*($U$10-($U$8+$U$9)/2)-(-0.000625*$C35+0.00625)*10))))*$H$13</f>
        <v>520.09007952841921</v>
      </c>
      <c r="I35" s="112">
        <f>ROUND(((H35/$H$13)/(($U$9-$U$8)*1.163))*$I$13,IF($U$3=1,0,IF($U$3=2,2)))</f>
        <v>112</v>
      </c>
      <c r="J35" s="77">
        <f>($X$35*(I35/$I$13)^$X$37)*$J$13</f>
        <v>4.0360007771727187</v>
      </c>
      <c r="K35" s="110">
        <f t="shared" si="48"/>
        <v>22</v>
      </c>
      <c r="L35" s="104">
        <f t="shared" si="49"/>
        <v>30</v>
      </c>
      <c r="M35" s="78">
        <f t="shared" si="49"/>
        <v>2.5</v>
      </c>
      <c r="N35" s="117">
        <f>AA35*$N$13</f>
        <v>150</v>
      </c>
      <c r="O35" s="62"/>
      <c r="Q35" s="138">
        <v>0.68</v>
      </c>
      <c r="U35" s="141">
        <f t="shared" si="50"/>
        <v>2188</v>
      </c>
      <c r="V35" s="128">
        <f t="shared" si="51"/>
        <v>7.3989525167788965E-4</v>
      </c>
      <c r="W35" s="144">
        <f t="shared" si="52"/>
        <v>290</v>
      </c>
      <c r="X35" s="128">
        <f t="shared" si="53"/>
        <v>7.3989525167788965E-4</v>
      </c>
      <c r="Y35" s="129">
        <f t="shared" si="54"/>
        <v>30</v>
      </c>
      <c r="Z35" s="128">
        <f t="shared" si="55"/>
        <v>2.5</v>
      </c>
      <c r="AA35" s="128">
        <f t="shared" si="56"/>
        <v>150</v>
      </c>
      <c r="AB35" s="127">
        <v>2188</v>
      </c>
      <c r="AC35" s="128">
        <v>7.3989525167788965E-4</v>
      </c>
      <c r="AD35" s="128">
        <v>0</v>
      </c>
      <c r="AE35" s="128">
        <f>AC35</f>
        <v>7.3989525167788965E-4</v>
      </c>
      <c r="AF35" s="129">
        <v>30</v>
      </c>
      <c r="AG35" s="129">
        <v>2.5</v>
      </c>
      <c r="AH35" s="130">
        <v>150</v>
      </c>
      <c r="AI35" s="127">
        <f t="shared" si="57"/>
        <v>2188</v>
      </c>
      <c r="AJ35" s="128">
        <f>AE35</f>
        <v>7.3989525167788965E-4</v>
      </c>
      <c r="AK35" s="128">
        <v>290</v>
      </c>
      <c r="AL35" s="128">
        <f>AJ35</f>
        <v>7.3989525167788965E-4</v>
      </c>
      <c r="AM35" s="129">
        <f t="shared" si="58"/>
        <v>30</v>
      </c>
      <c r="AN35" s="129">
        <f t="shared" si="59"/>
        <v>2.5</v>
      </c>
      <c r="AO35" s="130">
        <f t="shared" si="60"/>
        <v>150</v>
      </c>
    </row>
    <row r="36" spans="2:41" ht="14.5" x14ac:dyDescent="0.35">
      <c r="B36" s="72">
        <v>0.6</v>
      </c>
      <c r="C36" s="73">
        <v>6</v>
      </c>
      <c r="D36" s="74">
        <f>(U36*((($Q$8+$Q$9)/2-$Q$10)/50))*$D$13</f>
        <v>3082</v>
      </c>
      <c r="E36" s="112">
        <f>ROUND(((D36/$D$13)/(($Q$8-$Q$9)*1.163))*$E$13,IF($U$3=1,0,IF($U$3=2,2)))</f>
        <v>265</v>
      </c>
      <c r="F36" s="76">
        <f>($V$35*(E36/$E$13)^$V$37)*$F$13</f>
        <v>19.408718319542864</v>
      </c>
      <c r="G36" s="75">
        <f>(W36*(($U$10-(($U$8+$U$9)/2))/10)^Q36)*$G$13</f>
        <v>630.92476213926807</v>
      </c>
      <c r="H36" s="75">
        <f>((G36/$G$13)/(IF((237.3*LN(($K$11*EXP(17.27*($U$10/($U$10+237.3))))))/(17.27-LN(($K$11*EXP(17.27*($U$10/($U$10+237.3))))))&lt;(($U$8+$U$9)/2),1,1/(1+((2258*((0.622/((101325/(1*611*EXP(17.27*((($U$8+$U$9)/2)/((($U$8+$U$9)/2)+237.3))))))-1)*1000-(0.622/((101325/($K$11*611*EXP(17.27*($U$10/($U$10+237.3))))))-1)*1000))/(1005*((($U$8+$U$9)/2)-$U$10))))+-((-0.000625*$C36+0.00625)*($U$10-($U$8+$U$9)/2)-(-0.000625*$C36+0.00625)*10))))*$H$13</f>
        <v>851.60228169743357</v>
      </c>
      <c r="I36" s="112">
        <f>ROUND(((H36/$H$13)/(($U$9-$U$8)*1.163))*$I$13,IF($U$3=1,0,IF($U$3=2,2)))</f>
        <v>183</v>
      </c>
      <c r="J36" s="77">
        <f>($X$35*(I36/$I$13)^$X$37)*$J$13</f>
        <v>9.8806396827864127</v>
      </c>
      <c r="K36" s="110">
        <f t="shared" si="48"/>
        <v>32</v>
      </c>
      <c r="L36" s="104">
        <f t="shared" si="49"/>
        <v>40</v>
      </c>
      <c r="M36" s="78">
        <f t="shared" si="49"/>
        <v>5.4</v>
      </c>
      <c r="N36" s="117">
        <f>AA36*$N$13</f>
        <v>196</v>
      </c>
      <c r="O36" s="62"/>
      <c r="Q36" s="138">
        <v>0.79</v>
      </c>
      <c r="U36" s="141">
        <f t="shared" si="50"/>
        <v>3082</v>
      </c>
      <c r="V36" s="123" t="str">
        <f t="shared" si="51"/>
        <v>b</v>
      </c>
      <c r="W36" s="144">
        <f t="shared" si="52"/>
        <v>458</v>
      </c>
      <c r="X36" s="123" t="str">
        <f t="shared" si="53"/>
        <v>b</v>
      </c>
      <c r="Y36" s="129">
        <f t="shared" si="54"/>
        <v>40</v>
      </c>
      <c r="Z36" s="128">
        <f t="shared" si="55"/>
        <v>5.4</v>
      </c>
      <c r="AA36" s="128">
        <f t="shared" si="56"/>
        <v>196</v>
      </c>
      <c r="AB36" s="127">
        <v>3082</v>
      </c>
      <c r="AC36" s="123" t="s">
        <v>58</v>
      </c>
      <c r="AD36" s="128">
        <v>0</v>
      </c>
      <c r="AE36" s="123" t="s">
        <v>58</v>
      </c>
      <c r="AF36" s="129">
        <v>40</v>
      </c>
      <c r="AG36" s="129">
        <v>5.4</v>
      </c>
      <c r="AH36" s="130">
        <v>196</v>
      </c>
      <c r="AI36" s="127">
        <f t="shared" si="57"/>
        <v>3082</v>
      </c>
      <c r="AJ36" s="123" t="s">
        <v>58</v>
      </c>
      <c r="AK36" s="128">
        <v>458</v>
      </c>
      <c r="AL36" s="123" t="s">
        <v>58</v>
      </c>
      <c r="AM36" s="129">
        <f t="shared" si="58"/>
        <v>40</v>
      </c>
      <c r="AN36" s="129">
        <f t="shared" si="59"/>
        <v>5.4</v>
      </c>
      <c r="AO36" s="130">
        <f t="shared" si="60"/>
        <v>196</v>
      </c>
    </row>
    <row r="37" spans="2:41" ht="14.5" x14ac:dyDescent="0.35">
      <c r="B37" s="72">
        <v>0.8</v>
      </c>
      <c r="C37" s="73">
        <v>8</v>
      </c>
      <c r="D37" s="74">
        <f>(U37*((($Q$8+$Q$9)/2-$Q$10)/50))*$D$13</f>
        <v>3929</v>
      </c>
      <c r="E37" s="112">
        <f>ROUND(((D37/$D$13)/(($Q$8-$Q$9)*1.163))*$E$13,IF($U$3=1,0,IF($U$3=2,2)))</f>
        <v>338</v>
      </c>
      <c r="F37" s="76">
        <f>($V$35*(E37/$E$13)^$V$37)*$F$13</f>
        <v>30.247484009928744</v>
      </c>
      <c r="G37" s="75">
        <f>(W37*(($U$10-(($U$8+$U$9)/2))/10)^Q37)*$G$13</f>
        <v>902.17056486725244</v>
      </c>
      <c r="H37" s="75">
        <f>((G37/$G$13)/(IF((237.3*LN(($K$11*EXP(17.27*($U$10/($U$10+237.3))))))/(17.27-LN(($K$11*EXP(17.27*($U$10/($U$10+237.3))))))&lt;(($U$8+$U$9)/2),1,1/(1+((2258*((0.622/((101325/(1*611*EXP(17.27*((($U$8+$U$9)/2)/((($U$8+$U$9)/2)+237.3))))))-1)*1000-(0.622/((101325/($K$11*611*EXP(17.27*($U$10/($U$10+237.3))))))-1)*1000))/(1005*((($U$8+$U$9)/2)-$U$10))))+-((-0.000625*$C37+0.00625)*($U$10-($U$8+$U$9)/2)-(-0.000625*$C37+0.00625)*10))))*$H$13</f>
        <v>1207.5344602942544</v>
      </c>
      <c r="I37" s="112">
        <f>ROUND(((H37/$H$13)/(($U$9-$U$8)*1.163))*$I$13,IF($U$3=1,0,IF($U$3=2,2)))</f>
        <v>260</v>
      </c>
      <c r="J37" s="77">
        <f>($X$35*(I37/$I$13)^$X$37)*$J$13</f>
        <v>18.746136589840649</v>
      </c>
      <c r="K37" s="110">
        <f t="shared" si="48"/>
        <v>37</v>
      </c>
      <c r="L37" s="104">
        <f t="shared" si="49"/>
        <v>45</v>
      </c>
      <c r="M37" s="78">
        <f t="shared" si="49"/>
        <v>9.1</v>
      </c>
      <c r="N37" s="117">
        <f>AA37*$N$13</f>
        <v>250</v>
      </c>
      <c r="O37" s="62"/>
      <c r="Q37" s="138">
        <v>0.87</v>
      </c>
      <c r="U37" s="141">
        <f t="shared" si="50"/>
        <v>3929</v>
      </c>
      <c r="V37" s="128">
        <f t="shared" si="51"/>
        <v>1.8235155847906248</v>
      </c>
      <c r="W37" s="144">
        <f t="shared" si="52"/>
        <v>634</v>
      </c>
      <c r="X37" s="128">
        <f t="shared" si="53"/>
        <v>1.8235155847906248</v>
      </c>
      <c r="Y37" s="129">
        <f t="shared" si="54"/>
        <v>45</v>
      </c>
      <c r="Z37" s="128">
        <f t="shared" si="55"/>
        <v>9.1</v>
      </c>
      <c r="AA37" s="128">
        <f t="shared" si="56"/>
        <v>250</v>
      </c>
      <c r="AB37" s="127">
        <v>3929</v>
      </c>
      <c r="AC37" s="128">
        <v>1.8235155847906248</v>
      </c>
      <c r="AD37" s="128">
        <v>0</v>
      </c>
      <c r="AE37" s="128">
        <f>AC37</f>
        <v>1.8235155847906248</v>
      </c>
      <c r="AF37" s="129">
        <v>45</v>
      </c>
      <c r="AG37" s="129">
        <v>9.1</v>
      </c>
      <c r="AH37" s="130">
        <v>250</v>
      </c>
      <c r="AI37" s="127">
        <f t="shared" si="57"/>
        <v>3929</v>
      </c>
      <c r="AJ37" s="128">
        <f>AE37</f>
        <v>1.8235155847906248</v>
      </c>
      <c r="AK37" s="128">
        <v>634</v>
      </c>
      <c r="AL37" s="128">
        <f>AJ37</f>
        <v>1.8235155847906248</v>
      </c>
      <c r="AM37" s="129">
        <f t="shared" si="58"/>
        <v>45</v>
      </c>
      <c r="AN37" s="129">
        <f t="shared" si="59"/>
        <v>9.1</v>
      </c>
      <c r="AO37" s="130">
        <f t="shared" si="60"/>
        <v>250</v>
      </c>
    </row>
    <row r="38" spans="2:41" ht="14.5" x14ac:dyDescent="0.35">
      <c r="B38" s="79">
        <v>1</v>
      </c>
      <c r="C38" s="80">
        <v>10</v>
      </c>
      <c r="D38" s="81">
        <f>(U38*((($Q$8+$Q$9)/2-$Q$10)/50))*$D$13</f>
        <v>4744</v>
      </c>
      <c r="E38" s="113">
        <f>ROUND(((D38/$D$13)/(($Q$8-$Q$9)*1.163))*$E$13,IF($U$3=1,0,IF($U$3=2,2)))</f>
        <v>408</v>
      </c>
      <c r="F38" s="83">
        <f>($V$35*(E38/$E$13)^$V$37)*$F$13</f>
        <v>42.633376963350159</v>
      </c>
      <c r="G38" s="82">
        <f>(W38*(($U$10-(($U$8+$U$9)/2))/10)^Q38)*$G$13</f>
        <v>1180.1391135413351</v>
      </c>
      <c r="H38" s="82">
        <f>((G38/$G$13)/(IF((237.3*LN(($K$11*EXP(17.27*($U$10/($U$10+237.3))))))/(17.27-LN(($K$11*EXP(17.27*($U$10/($U$10+237.3))))))&lt;(($U$8+$U$9)/2),1,1/(1+((2258*((0.622/((101325/(1*611*EXP(17.27*((($U$8+$U$9)/2)/((($U$8+$U$9)/2)+237.3))))))-1)*1000-(0.622/((101325/($K$11*611*EXP(17.27*($U$10/($U$10+237.3))))))-1)*1000))/(1005*((($U$8+$U$9)/2)-$U$10))))+-((-0.000625*$C38+0.00625)*($U$10-($U$8+$U$9)/2)-(-0.000625*$C38+0.00625)*10))))*$H$13</f>
        <v>1566.4845453174262</v>
      </c>
      <c r="I38" s="113">
        <f>ROUND(((H38/$H$13)/(($U$9-$U$8)*1.163))*$I$13,IF($U$3=1,0,IF($U$3=2,2)))</f>
        <v>337</v>
      </c>
      <c r="J38" s="84">
        <f>($X$35*(I38/$I$13)^$X$37)*$J$13</f>
        <v>30.084497164324798</v>
      </c>
      <c r="K38" s="111">
        <f t="shared" si="48"/>
        <v>41</v>
      </c>
      <c r="L38" s="105">
        <f t="shared" si="49"/>
        <v>49</v>
      </c>
      <c r="M38" s="78">
        <f t="shared" si="49"/>
        <v>14.1</v>
      </c>
      <c r="N38" s="118">
        <f>AA38*$N$13</f>
        <v>320</v>
      </c>
      <c r="O38" s="62"/>
      <c r="Q38" s="138">
        <v>0.91</v>
      </c>
      <c r="U38" s="142">
        <f t="shared" si="50"/>
        <v>4744</v>
      </c>
      <c r="V38" s="132"/>
      <c r="W38" s="145">
        <f t="shared" si="52"/>
        <v>816</v>
      </c>
      <c r="X38" s="132"/>
      <c r="Y38" s="135">
        <f t="shared" si="54"/>
        <v>49</v>
      </c>
      <c r="Z38" s="133">
        <f t="shared" si="55"/>
        <v>14.1</v>
      </c>
      <c r="AA38" s="133">
        <f t="shared" si="56"/>
        <v>320</v>
      </c>
      <c r="AB38" s="131">
        <v>4744</v>
      </c>
      <c r="AC38" s="134"/>
      <c r="AD38" s="133">
        <v>0</v>
      </c>
      <c r="AE38" s="134"/>
      <c r="AF38" s="135">
        <v>49</v>
      </c>
      <c r="AG38" s="135">
        <v>14.1</v>
      </c>
      <c r="AH38" s="136">
        <v>320</v>
      </c>
      <c r="AI38" s="131">
        <f t="shared" si="57"/>
        <v>4744</v>
      </c>
      <c r="AJ38" s="134"/>
      <c r="AK38" s="133">
        <v>816</v>
      </c>
      <c r="AL38" s="134"/>
      <c r="AM38" s="135">
        <f t="shared" si="58"/>
        <v>49</v>
      </c>
      <c r="AN38" s="135">
        <f t="shared" si="59"/>
        <v>14.1</v>
      </c>
      <c r="AO38" s="136">
        <f t="shared" si="60"/>
        <v>320</v>
      </c>
    </row>
    <row r="39" spans="2:41" ht="9.4" customHeight="1" x14ac:dyDescent="0.35">
      <c r="B39" s="85" t="str">
        <f>IF($Q$5=1,NL!A39,IF(cal!$Q$5=2,EN!A39,IF(cal!$Q$5=3,DE!A39,IF(cal!$Q$5=4,FR!A39,))))</f>
        <v>*Values according to EN 16430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86"/>
      <c r="N39" s="87" t="s">
        <v>75</v>
      </c>
      <c r="O39" s="62"/>
      <c r="U39" s="154" t="s">
        <v>76</v>
      </c>
      <c r="V39" s="161">
        <f t="shared" ref="V39" si="61">IF($U$15=1,AC39,IF($U$15=2,AJ39,IF($U$15=3,AQ39,IF($U$15=4,AX39,IF($U$15=5,BE39,IF($U$15=6,BL39,IF($U$15=7,BS39,IF($U$15=8,BZ39))))))))</f>
        <v>10</v>
      </c>
      <c r="W39" s="154" t="s">
        <v>77</v>
      </c>
      <c r="X39" s="161">
        <f t="shared" ref="X39" si="62">IF($U$15=1,AE39,IF($U$15=2,AL39,IF($U$15=3,AS39,IF($U$15=4,AZ39,IF($U$15=5,BG39,IF($U$15=6,BN39,IF($U$15=7,BU39,IF($U$15=8,CB39))))))))</f>
        <v>18</v>
      </c>
      <c r="Y39" s="154" t="s">
        <v>78</v>
      </c>
      <c r="Z39" s="156">
        <f t="shared" ref="Z39" si="63">IF($U$15=1,AG39,IF($U$15=2,AN39,IF($U$15=3,AU39,IF($U$15=4,BB39,IF($U$15=5,BI39,IF($U$15=6,BP39,IF($U$15=7,BW39,IF($U$15=8,CD39))))))))</f>
        <v>180</v>
      </c>
      <c r="AA39" s="152"/>
      <c r="AB39" s="154" t="s">
        <v>76</v>
      </c>
      <c r="AC39" s="162">
        <f>AC33</f>
        <v>8</v>
      </c>
      <c r="AD39" s="154" t="s">
        <v>77</v>
      </c>
      <c r="AE39" s="162">
        <f>AE33</f>
        <v>18</v>
      </c>
      <c r="AF39" s="154" t="s">
        <v>78</v>
      </c>
      <c r="AG39" s="160">
        <f>180*IF($U$3=1,1,IF($U$3=2,1/2.54))</f>
        <v>180</v>
      </c>
      <c r="AH39" s="152"/>
      <c r="AI39" s="154" t="s">
        <v>76</v>
      </c>
      <c r="AJ39" s="162">
        <f>AJ33</f>
        <v>10</v>
      </c>
      <c r="AK39" s="154" t="s">
        <v>77</v>
      </c>
      <c r="AL39" s="162">
        <f>AL33</f>
        <v>18</v>
      </c>
      <c r="AM39" s="154" t="s">
        <v>78</v>
      </c>
      <c r="AN39" s="159">
        <f>AG39</f>
        <v>180</v>
      </c>
      <c r="AO39" s="152"/>
    </row>
    <row r="40" spans="2:41" ht="9.4" customHeight="1" x14ac:dyDescent="0.35">
      <c r="B40" s="85" t="str">
        <f>IF($Q$5=1,NL!A40,IF(cal!$Q$5=2,EN!A40,IF(cal!$Q$5=3,DE!A40,IF(cal!$Q$5=4,FR!A40,))))</f>
        <v>**Sound power according to ISO 3741:2010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62"/>
    </row>
    <row r="41" spans="2:41" ht="9" customHeight="1" x14ac:dyDescent="0.35">
      <c r="B41" s="85" t="str">
        <f>IF($Q$5=1,NL!A41,IF(cal!$Q$5=2,EN!A41,IF(cal!$Q$5=3,DE!A41,IF(cal!$Q$5=4,FR!A41,))))</f>
        <v>***Sound pressure with an assumed room damping of 8dB(A)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62"/>
    </row>
  </sheetData>
  <sheetProtection algorithmName="SHA-512" hashValue="kv2DeLWkkqailZ3akcxtIZpSScfo7CaXAYrJ58bS/pJTfBP2ZIAQTNop42JKLzZVPabHdFDbsGRAm6crPzaqfw==" saltValue="3iDJz46xDgRIZ3nbCkI9Vg==" spinCount="100000" sheet="1" selectLockedCells="1"/>
  <dataConsolidate/>
  <mergeCells count="15">
    <mergeCell ref="U15:AA15"/>
    <mergeCell ref="AB15:AH15"/>
    <mergeCell ref="AI15:AO15"/>
    <mergeCell ref="G2:J2"/>
    <mergeCell ref="B8:D8"/>
    <mergeCell ref="G8:J8"/>
    <mergeCell ref="B9:D9"/>
    <mergeCell ref="G9:J9"/>
    <mergeCell ref="G4:J4"/>
    <mergeCell ref="B27:N27"/>
    <mergeCell ref="B33:N33"/>
    <mergeCell ref="B10:D10"/>
    <mergeCell ref="G10:J10"/>
    <mergeCell ref="B15:N15"/>
    <mergeCell ref="B21:N21"/>
  </mergeCells>
  <dataValidations count="5">
    <dataValidation type="whole" errorStyle="information" allowBlank="1" error="Eingabe außerhalb des gültigen Bereichs." prompt="20°C bis 35°C" sqref="K10" xr:uid="{00000000-0002-0000-0100-000000000000}">
      <formula1>20</formula1>
      <formula2>35</formula2>
    </dataValidation>
    <dataValidation type="whole" errorStyle="information" allowBlank="1" error="Eingabe außerhalb des gültigen Bereichs." prompt="Eingabe zwischen Vorlauftemp. und Raumtemp." sqref="K9" xr:uid="{00000000-0002-0000-0100-000001000000}">
      <formula1>K8</formula1>
      <formula2>K10</formula2>
    </dataValidation>
    <dataValidation type="whole" errorStyle="information" allowBlank="1" prompt="Eingabe zwischen 5°C bis 20°C" sqref="K8" xr:uid="{00000000-0002-0000-0100-000002000000}">
      <formula1>5</formula1>
      <formula2>20</formula2>
    </dataValidation>
    <dataValidation type="decimal" errorStyle="information" allowBlank="1" prompt="20°C bis 35°C" sqref="K11" xr:uid="{00000000-0002-0000-0100-000003000000}">
      <formula1>0.3</formula1>
      <formula2>0.8</formula2>
    </dataValidation>
    <dataValidation allowBlank="1" showInputMessage="1" sqref="E8:E10" xr:uid="{00000000-0002-0000-0100-000004000000}"/>
  </dataValidations>
  <pageMargins left="0.5" right="0.47222222222222221" top="1.0555555555555556" bottom="0.81944444444444442" header="0.43055555555555558" footer="0.40277777777777779"/>
  <pageSetup paperSize="9" scale="92" orientation="portrait" r:id="rId1"/>
  <ignoredErrors>
    <ignoredError sqref="Q8 Q9:Q10 U8:U10 AM34:AM38 AN34:AO38 AM28:AM32 AN28:AO32 AM22:AO26 AN18 AM16:AO17 AM19:AO20 AM18 AO18 U16:AA20 U22:AA26 U34:AA38 U28:AA32 K8:K11 E8:E1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N48"/>
  <sheetViews>
    <sheetView workbookViewId="0">
      <selection activeCell="E14" sqref="E14"/>
    </sheetView>
  </sheetViews>
  <sheetFormatPr defaultColWidth="0" defaultRowHeight="14.5" zeroHeight="1" x14ac:dyDescent="0.35"/>
  <cols>
    <col min="1" max="1" width="7" style="1" customWidth="1"/>
    <col min="2" max="2" width="6.1796875" style="1" customWidth="1"/>
    <col min="3" max="3" width="7" style="1" customWidth="1"/>
    <col min="4" max="4" width="6.7265625" style="1" customWidth="1"/>
    <col min="5" max="13" width="7" style="1" customWidth="1"/>
    <col min="14" max="14" width="2.1796875" style="1" hidden="1" customWidth="1"/>
    <col min="15" max="16384" width="11.453125" style="1" hidden="1"/>
  </cols>
  <sheetData>
    <row r="1" spans="1:13" s="3" customFormat="1" x14ac:dyDescent="0.35">
      <c r="A1" s="22"/>
    </row>
    <row r="2" spans="1:13" s="3" customFormat="1" x14ac:dyDescent="0.35">
      <c r="A2" s="24" t="s">
        <v>19</v>
      </c>
      <c r="B2" s="23"/>
    </row>
    <row r="3" spans="1:13" s="3" customFormat="1" x14ac:dyDescent="0.35">
      <c r="A3" s="22"/>
    </row>
    <row r="4" spans="1:13" s="3" customFormat="1" x14ac:dyDescent="0.35">
      <c r="A4" s="29" t="s">
        <v>18</v>
      </c>
    </row>
    <row r="5" spans="1:13" s="3" customFormat="1" ht="6" customHeight="1" x14ac:dyDescent="0.3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x14ac:dyDescent="0.35">
      <c r="A6" s="13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4"/>
    </row>
    <row r="7" spans="1:13" x14ac:dyDescent="0.35">
      <c r="A7" s="13" t="s">
        <v>12</v>
      </c>
      <c r="B7" s="8"/>
      <c r="C7" s="8"/>
      <c r="D7" s="8"/>
      <c r="E7" s="8"/>
      <c r="F7" s="9" t="s">
        <v>13</v>
      </c>
      <c r="G7" s="9"/>
      <c r="H7" s="9"/>
      <c r="I7" s="8"/>
      <c r="J7" s="8"/>
      <c r="K7" s="8"/>
      <c r="L7" s="30"/>
      <c r="M7" s="14"/>
    </row>
    <row r="8" spans="1:13" x14ac:dyDescent="0.35">
      <c r="A8" s="204" t="str">
        <f>"Aanvoertemp. ["&amp;IF(cal!$U$3=1,"°C",IF(cal!$U$3=2,"°F"))&amp;"]"</f>
        <v>Aanvoertemp. [°C]</v>
      </c>
      <c r="B8" s="205"/>
      <c r="C8" s="205"/>
      <c r="D8" s="115">
        <f>cal!E8</f>
        <v>75</v>
      </c>
      <c r="E8" s="50"/>
      <c r="F8" s="205" t="str">
        <f>"Aanvoertemp. ["&amp;IF(cal!$U$3=1,"°C",IF(cal!$U$3=2,"°F"))&amp;"]"</f>
        <v>Aanvoertemp. [°C]</v>
      </c>
      <c r="G8" s="205"/>
      <c r="H8" s="205"/>
      <c r="I8" s="205"/>
      <c r="J8" s="115">
        <f>cal!K8</f>
        <v>7.9999999999999991</v>
      </c>
      <c r="K8" s="8"/>
      <c r="L8" s="8"/>
      <c r="M8" s="14"/>
    </row>
    <row r="9" spans="1:13" x14ac:dyDescent="0.35">
      <c r="A9" s="204" t="str">
        <f>"Retourtemp. ["&amp;IF(cal!$U$3=1,"°C",IF(cal!$U$3=2,"°F"))&amp;"]"</f>
        <v>Retourtemp. [°C]</v>
      </c>
      <c r="B9" s="205"/>
      <c r="C9" s="205"/>
      <c r="D9" s="115">
        <f>cal!E9</f>
        <v>65</v>
      </c>
      <c r="E9" s="50"/>
      <c r="F9" s="205" t="str">
        <f>"Retourtemp. ["&amp;IF(cal!$U$3=1,"°C",IF(cal!$U$3=2,"°F"))&amp;"]"</f>
        <v>Retourtemp. [°C]</v>
      </c>
      <c r="G9" s="205"/>
      <c r="H9" s="205"/>
      <c r="I9" s="205"/>
      <c r="J9" s="115">
        <f>cal!K9</f>
        <v>12</v>
      </c>
      <c r="K9" s="8"/>
      <c r="L9" s="8"/>
      <c r="M9" s="14"/>
    </row>
    <row r="10" spans="1:13" x14ac:dyDescent="0.35">
      <c r="A10" s="204" t="str">
        <f>"Ruimtetemp. ["&amp;IF(cal!$U$3=1,"°C",IF(cal!$U$3=2,"°F"))&amp;"]"</f>
        <v>Ruimtetemp. [°C]</v>
      </c>
      <c r="B10" s="205"/>
      <c r="C10" s="205"/>
      <c r="D10" s="115">
        <f>cal!E10</f>
        <v>20</v>
      </c>
      <c r="E10" s="50"/>
      <c r="F10" s="205" t="str">
        <f>"Ruimtetemp. ["&amp;IF(cal!$U$3=1,"°C",IF(cal!$U$3=2,"°F"))&amp;"]"</f>
        <v>Ruimtetemp. [°C]</v>
      </c>
      <c r="G10" s="205"/>
      <c r="H10" s="205"/>
      <c r="I10" s="205"/>
      <c r="J10" s="115">
        <f>cal!K10</f>
        <v>25</v>
      </c>
      <c r="K10" s="8"/>
      <c r="L10" s="8"/>
      <c r="M10" s="14"/>
    </row>
    <row r="11" spans="1:13" x14ac:dyDescent="0.35">
      <c r="A11" s="15"/>
      <c r="B11" s="8"/>
      <c r="C11" s="8"/>
      <c r="D11" s="8"/>
      <c r="E11" s="8"/>
      <c r="F11" s="8" t="s">
        <v>35</v>
      </c>
      <c r="G11" s="8"/>
      <c r="H11" s="8"/>
      <c r="I11" s="8"/>
      <c r="J11" s="67">
        <f>cal!K11</f>
        <v>0.5</v>
      </c>
      <c r="K11" s="8"/>
      <c r="L11" s="8"/>
      <c r="M11" s="14"/>
    </row>
    <row r="12" spans="1:13" ht="6" customHeight="1" x14ac:dyDescent="0.35">
      <c r="A12" s="16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9"/>
    </row>
    <row r="13" spans="1:13" x14ac:dyDescent="0.3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2" customFormat="1" ht="95.5" customHeight="1" x14ac:dyDescent="0.35">
      <c r="A14" s="27" t="s">
        <v>17</v>
      </c>
      <c r="B14" s="20" t="s">
        <v>14</v>
      </c>
      <c r="C14" s="27" t="str">
        <f>CONCATENATE("Warmteafgifte * ",ROUND(D8,0),"/",ROUND(D9,0),"/",ROUND(D10,0)," ["&amp;IF(cal!$U$3=1,"W",IF(cal!$U$3=2,"Btu/h"))&amp;"]")</f>
        <v>Warmteafgifte * 75/65/20 [W]</v>
      </c>
      <c r="D14" s="31" t="str">
        <f>"Waterdebiet, verwarming ["&amp;IF(cal!$U$3=1,"l/h",IF(cal!$U$3=2,"GPM"))&amp;"]"</f>
        <v>Waterdebiet, verwarming [l/h]</v>
      </c>
      <c r="E14" s="34" t="str">
        <f>"Waterzijdig drukverlies ["&amp;IF(cal!$U$3=1,"kPa",IF(cal!$U$3=2,"inH2O"))&amp;"]"</f>
        <v>Waterzijdig drukverlies [kPa]</v>
      </c>
      <c r="F14" s="20" t="str">
        <f>CONCATENATE("Voelb. Koelcapaciteit * ",ROUND(J8,0),"/",,ROUND(J9,0),"/",,ROUND(J10,0)," ["&amp;IF(cal!$U$3=1,"W",IF(cal!$U$3=2,"Btu/h"))&amp;"]")</f>
        <v>Voelb. Koelcapaciteit * 8/12/25 [W]</v>
      </c>
      <c r="G14" s="20" t="str">
        <f>CONCATENATE("Tot. koelcapaciteit ",,ROUND(J8,0),"/",,ROUND(J9,0),"/",,ROUND(J10,0)," ["&amp;IF(cal!$U$3=1,"W",IF(cal!$U$3=2,"Btu/h"))&amp;"]")</f>
        <v>Tot. koelcapaciteit 8/12/25 [W]</v>
      </c>
      <c r="H14" s="20" t="str">
        <f>"Waterdebiet, koeling ["&amp;IF(cal!$U$3=1,"l/h",IF(cal!$U$3=2,"GPM"))&amp;"]"</f>
        <v>Waterdebiet, koeling [l/h]</v>
      </c>
      <c r="I14" s="21" t="str">
        <f>"Waterzijdig drukverlies ["&amp;IF(cal!$U$3=1,"kPa",IF(cal!$U$3=2,"inH2O"))&amp;"]"</f>
        <v>Waterzijdig drukverlies [kPa]</v>
      </c>
      <c r="J14" s="27" t="s">
        <v>15</v>
      </c>
      <c r="K14" s="33" t="s">
        <v>49</v>
      </c>
      <c r="L14" s="20" t="s">
        <v>16</v>
      </c>
      <c r="M14" s="26" t="str">
        <f>"Luchtdebiet ["&amp;IF(cal!$U$3=1,"m³/h",IF(cal!$U$3=2,"CFM"))&amp;"]"</f>
        <v>Luchtdebiet [m³/h]</v>
      </c>
    </row>
    <row r="15" spans="1:13" ht="18" customHeight="1" x14ac:dyDescent="0.35">
      <c r="A15" s="201" t="str">
        <f>"Clima Canal Hoogte "&amp;ROUND(cal!V21,1)&amp;IF(cal!$U$3=1," cm",IF(cal!$U$3=2," in"))&amp; " Breedte "&amp;ROUND(cal!X21,1)&amp;IF(cal!$U$3=1," cm",IF(cal!$U$3=2," in"))&amp;" Lengte "&amp;ROUND(cal!Z21,1)&amp;IF(cal!$U$3=1," cm",IF(cal!$U$3=2," in"))&amp;" (Type 1)"</f>
        <v>Clima Canal Hoogte 10 cm Breedte 18 cm Lengte 72 cm (Type 1)</v>
      </c>
      <c r="B15" s="202"/>
      <c r="C15" s="201"/>
      <c r="D15" s="203"/>
      <c r="E15" s="202"/>
      <c r="F15" s="202"/>
      <c r="G15" s="202"/>
      <c r="H15" s="202"/>
      <c r="I15" s="202"/>
      <c r="J15" s="201"/>
      <c r="K15" s="202"/>
      <c r="L15" s="202"/>
      <c r="M15" s="203"/>
    </row>
    <row r="16" spans="1:13" x14ac:dyDescent="0.35">
      <c r="A16" s="35"/>
      <c r="B16" s="4"/>
      <c r="C16" s="28"/>
      <c r="D16" s="5"/>
      <c r="E16" s="32"/>
      <c r="F16" s="5"/>
      <c r="G16" s="5"/>
      <c r="H16" s="5"/>
      <c r="I16" s="6"/>
      <c r="J16" s="28"/>
      <c r="K16" s="44"/>
      <c r="L16" s="48"/>
      <c r="M16" s="36"/>
    </row>
    <row r="17" spans="1:13" x14ac:dyDescent="0.35">
      <c r="A17" s="35"/>
      <c r="B17" s="4"/>
      <c r="C17" s="28"/>
      <c r="D17" s="5"/>
      <c r="E17" s="32"/>
      <c r="F17" s="5"/>
      <c r="G17" s="5"/>
      <c r="H17" s="5"/>
      <c r="I17" s="6"/>
      <c r="J17" s="28"/>
      <c r="K17" s="44"/>
      <c r="L17" s="48"/>
      <c r="M17" s="36"/>
    </row>
    <row r="18" spans="1:13" x14ac:dyDescent="0.35">
      <c r="A18" s="35"/>
      <c r="B18" s="4"/>
      <c r="C18" s="28"/>
      <c r="D18" s="5"/>
      <c r="E18" s="32"/>
      <c r="F18" s="5"/>
      <c r="G18" s="5"/>
      <c r="H18" s="5"/>
      <c r="I18" s="6"/>
      <c r="J18" s="28"/>
      <c r="K18" s="44"/>
      <c r="L18" s="48"/>
      <c r="M18" s="36"/>
    </row>
    <row r="19" spans="1:13" x14ac:dyDescent="0.35">
      <c r="A19" s="35"/>
      <c r="B19" s="4"/>
      <c r="C19" s="28"/>
      <c r="D19" s="5"/>
      <c r="E19" s="32"/>
      <c r="F19" s="5"/>
      <c r="G19" s="5"/>
      <c r="H19" s="5"/>
      <c r="I19" s="6"/>
      <c r="J19" s="28"/>
      <c r="K19" s="44"/>
      <c r="L19" s="48"/>
      <c r="M19" s="36"/>
    </row>
    <row r="20" spans="1:13" x14ac:dyDescent="0.35">
      <c r="A20" s="35"/>
      <c r="B20" s="4"/>
      <c r="C20" s="28"/>
      <c r="D20" s="5"/>
      <c r="E20" s="32"/>
      <c r="F20" s="5"/>
      <c r="G20" s="5"/>
      <c r="H20" s="5"/>
      <c r="I20" s="6"/>
      <c r="J20" s="28"/>
      <c r="K20" s="44"/>
      <c r="L20" s="48"/>
      <c r="M20" s="36"/>
    </row>
    <row r="21" spans="1:13" ht="16.899999999999999" customHeight="1" x14ac:dyDescent="0.35">
      <c r="A21" s="201" t="str">
        <f>"Clima Canal Hoogte "&amp;ROUND(cal!V27,1)&amp;IF(cal!$U$3=1," cm",IF(cal!$U$3=2," in"))&amp; " Breedte "&amp;ROUND(cal!X27,1)&amp;IF(cal!$U$3=1," cm",IF(cal!$U$3=2," in"))&amp;" Lengte "&amp;ROUND(cal!Z27,1)&amp;IF(cal!$U$3=1," cm",IF(cal!$U$3=2," in"))&amp;" (Type 2)"</f>
        <v>Clima Canal Hoogte 10 cm Breedte 18 cm Lengte 108 cm (Type 2)</v>
      </c>
      <c r="B21" s="202"/>
      <c r="C21" s="201"/>
      <c r="D21" s="203"/>
      <c r="E21" s="202"/>
      <c r="F21" s="202"/>
      <c r="G21" s="202"/>
      <c r="H21" s="202"/>
      <c r="I21" s="202"/>
      <c r="J21" s="201"/>
      <c r="K21" s="202"/>
      <c r="L21" s="202"/>
      <c r="M21" s="203"/>
    </row>
    <row r="22" spans="1:13" x14ac:dyDescent="0.35">
      <c r="A22" s="35"/>
      <c r="B22" s="4"/>
      <c r="C22" s="28"/>
      <c r="D22" s="5"/>
      <c r="E22" s="32"/>
      <c r="F22" s="5"/>
      <c r="G22" s="5"/>
      <c r="H22" s="5"/>
      <c r="I22" s="6"/>
      <c r="J22" s="28"/>
      <c r="K22" s="44"/>
      <c r="L22" s="48"/>
      <c r="M22" s="36"/>
    </row>
    <row r="23" spans="1:13" x14ac:dyDescent="0.35">
      <c r="A23" s="35"/>
      <c r="B23" s="4"/>
      <c r="C23" s="28"/>
      <c r="D23" s="5"/>
      <c r="E23" s="32"/>
      <c r="F23" s="5"/>
      <c r="G23" s="5"/>
      <c r="H23" s="5"/>
      <c r="I23" s="6"/>
      <c r="J23" s="28"/>
      <c r="K23" s="44"/>
      <c r="L23" s="48"/>
      <c r="M23" s="36"/>
    </row>
    <row r="24" spans="1:13" x14ac:dyDescent="0.35">
      <c r="A24" s="35"/>
      <c r="B24" s="4"/>
      <c r="C24" s="28"/>
      <c r="D24" s="5"/>
      <c r="E24" s="32"/>
      <c r="F24" s="5"/>
      <c r="G24" s="5"/>
      <c r="H24" s="5"/>
      <c r="I24" s="6"/>
      <c r="J24" s="28"/>
      <c r="K24" s="44"/>
      <c r="L24" s="48"/>
      <c r="M24" s="36"/>
    </row>
    <row r="25" spans="1:13" x14ac:dyDescent="0.35">
      <c r="A25" s="35"/>
      <c r="B25" s="4"/>
      <c r="C25" s="28"/>
      <c r="D25" s="5"/>
      <c r="E25" s="32"/>
      <c r="F25" s="5"/>
      <c r="G25" s="5"/>
      <c r="H25" s="5"/>
      <c r="I25" s="6"/>
      <c r="J25" s="28"/>
      <c r="K25" s="44"/>
      <c r="L25" s="48"/>
      <c r="M25" s="36"/>
    </row>
    <row r="26" spans="1:13" x14ac:dyDescent="0.35">
      <c r="A26" s="35"/>
      <c r="B26" s="4"/>
      <c r="C26" s="28"/>
      <c r="D26" s="5"/>
      <c r="E26" s="32"/>
      <c r="F26" s="5"/>
      <c r="G26" s="5"/>
      <c r="H26" s="5"/>
      <c r="I26" s="6"/>
      <c r="J26" s="28"/>
      <c r="K26" s="44"/>
      <c r="L26" s="48"/>
      <c r="M26" s="36"/>
    </row>
    <row r="27" spans="1:13" ht="18" customHeight="1" x14ac:dyDescent="0.35">
      <c r="A27" s="201" t="str">
        <f>"Clima Canal Hoogte "&amp;ROUND(cal!V33,1)&amp;IF(cal!$U$3=1," cm",IF(cal!$U$3=2," in"))&amp; " Breedte "&amp;ROUND(cal!X33,1)&amp;IF(cal!$U$3=1," cm",IF(cal!$U$3=2," in"))&amp;" Lengte "&amp;ROUND(cal!Z33,1)&amp;IF(cal!$U$3=1," cm",IF(cal!$U$3=2," in"))&amp;" (Type 3)"</f>
        <v>Clima Canal Hoogte 10 cm Breedte 18 cm Lengte 144 cm (Type 3)</v>
      </c>
      <c r="B27" s="202"/>
      <c r="C27" s="201"/>
      <c r="D27" s="203"/>
      <c r="E27" s="202"/>
      <c r="F27" s="202"/>
      <c r="G27" s="202"/>
      <c r="H27" s="202"/>
      <c r="I27" s="202"/>
      <c r="J27" s="201"/>
      <c r="K27" s="202"/>
      <c r="L27" s="202"/>
      <c r="M27" s="203"/>
    </row>
    <row r="28" spans="1:13" x14ac:dyDescent="0.35">
      <c r="A28" s="35"/>
      <c r="B28" s="4"/>
      <c r="C28" s="28"/>
      <c r="D28" s="5"/>
      <c r="E28" s="32"/>
      <c r="F28" s="5"/>
      <c r="G28" s="5"/>
      <c r="H28" s="5"/>
      <c r="I28" s="6"/>
      <c r="J28" s="28"/>
      <c r="K28" s="44"/>
      <c r="L28" s="48"/>
      <c r="M28" s="36"/>
    </row>
    <row r="29" spans="1:13" x14ac:dyDescent="0.35">
      <c r="A29" s="35"/>
      <c r="B29" s="4"/>
      <c r="C29" s="28"/>
      <c r="D29" s="5"/>
      <c r="E29" s="32"/>
      <c r="F29" s="5"/>
      <c r="G29" s="5"/>
      <c r="H29" s="5"/>
      <c r="I29" s="6"/>
      <c r="J29" s="28"/>
      <c r="K29" s="44"/>
      <c r="L29" s="48"/>
      <c r="M29" s="36"/>
    </row>
    <row r="30" spans="1:13" x14ac:dyDescent="0.35">
      <c r="A30" s="35"/>
      <c r="B30" s="4"/>
      <c r="C30" s="28"/>
      <c r="D30" s="5"/>
      <c r="E30" s="32"/>
      <c r="F30" s="5"/>
      <c r="G30" s="5"/>
      <c r="H30" s="5"/>
      <c r="I30" s="6"/>
      <c r="J30" s="28"/>
      <c r="K30" s="44"/>
      <c r="L30" s="48"/>
      <c r="M30" s="36"/>
    </row>
    <row r="31" spans="1:13" x14ac:dyDescent="0.35">
      <c r="A31" s="35"/>
      <c r="B31" s="4"/>
      <c r="C31" s="28"/>
      <c r="D31" s="5"/>
      <c r="E31" s="32"/>
      <c r="F31" s="5"/>
      <c r="G31" s="5"/>
      <c r="H31" s="5"/>
      <c r="I31" s="6"/>
      <c r="J31" s="28"/>
      <c r="K31" s="44"/>
      <c r="L31" s="48"/>
      <c r="M31" s="36"/>
    </row>
    <row r="32" spans="1:13" x14ac:dyDescent="0.35">
      <c r="A32" s="35"/>
      <c r="B32" s="4"/>
      <c r="C32" s="28"/>
      <c r="D32" s="5"/>
      <c r="E32" s="32"/>
      <c r="F32" s="5"/>
      <c r="G32" s="5"/>
      <c r="H32" s="5"/>
      <c r="I32" s="6"/>
      <c r="J32" s="28"/>
      <c r="K32" s="44"/>
      <c r="L32" s="48"/>
      <c r="M32" s="36"/>
    </row>
    <row r="33" spans="1:13" ht="16.899999999999999" customHeight="1" x14ac:dyDescent="0.35">
      <c r="A33" s="201" t="str">
        <f>"Clima Canal Hoogte "&amp;ROUND(cal!V39,1)&amp;IF(cal!$U$3=1," cm",IF(cal!$U$3=2," in"))&amp; " Breedte "&amp;ROUND(cal!X39,1)&amp;IF(cal!$U$3=1," cm",IF(cal!$U$3=2," in"))&amp;" Lengte "&amp;ROUND(cal!Z39,1)&amp;IF(cal!$U$3=1," cm",IF(cal!$U$3=2," in"))&amp;" (Type 4)"</f>
        <v>Clima Canal Hoogte 10 cm Breedte 18 cm Lengte 180 cm (Type 4)</v>
      </c>
      <c r="B33" s="202"/>
      <c r="C33" s="201"/>
      <c r="D33" s="203"/>
      <c r="E33" s="202"/>
      <c r="F33" s="202"/>
      <c r="G33" s="202"/>
      <c r="H33" s="202"/>
      <c r="I33" s="202"/>
      <c r="J33" s="201"/>
      <c r="K33" s="202"/>
      <c r="L33" s="202"/>
      <c r="M33" s="203"/>
    </row>
    <row r="34" spans="1:13" x14ac:dyDescent="0.35">
      <c r="A34" s="35"/>
      <c r="B34" s="4"/>
      <c r="C34" s="28"/>
      <c r="D34" s="5"/>
      <c r="E34" s="32"/>
      <c r="F34" s="5"/>
      <c r="G34" s="5"/>
      <c r="H34" s="5"/>
      <c r="I34" s="6"/>
      <c r="J34" s="28"/>
      <c r="K34" s="44"/>
      <c r="L34" s="48"/>
      <c r="M34" s="36"/>
    </row>
    <row r="35" spans="1:13" x14ac:dyDescent="0.35">
      <c r="A35" s="35"/>
      <c r="B35" s="4"/>
      <c r="C35" s="28"/>
      <c r="D35" s="5"/>
      <c r="E35" s="32"/>
      <c r="F35" s="5"/>
      <c r="G35" s="5"/>
      <c r="H35" s="5"/>
      <c r="I35" s="6"/>
      <c r="J35" s="28"/>
      <c r="K35" s="44"/>
      <c r="L35" s="48"/>
      <c r="M35" s="36"/>
    </row>
    <row r="36" spans="1:13" x14ac:dyDescent="0.35">
      <c r="A36" s="35"/>
      <c r="B36" s="4"/>
      <c r="C36" s="28"/>
      <c r="D36" s="5"/>
      <c r="E36" s="32"/>
      <c r="F36" s="5"/>
      <c r="G36" s="5"/>
      <c r="H36" s="5"/>
      <c r="I36" s="6"/>
      <c r="J36" s="28"/>
      <c r="K36" s="44"/>
      <c r="L36" s="48"/>
      <c r="M36" s="36"/>
    </row>
    <row r="37" spans="1:13" x14ac:dyDescent="0.35">
      <c r="A37" s="35"/>
      <c r="B37" s="4"/>
      <c r="C37" s="28"/>
      <c r="D37" s="5"/>
      <c r="E37" s="32"/>
      <c r="F37" s="5"/>
      <c r="G37" s="5"/>
      <c r="H37" s="5"/>
      <c r="I37" s="6"/>
      <c r="J37" s="28"/>
      <c r="K37" s="44"/>
      <c r="L37" s="48"/>
      <c r="M37" s="36"/>
    </row>
    <row r="38" spans="1:13" x14ac:dyDescent="0.35">
      <c r="A38" s="37"/>
      <c r="B38" s="38"/>
      <c r="C38" s="39"/>
      <c r="D38" s="40"/>
      <c r="E38" s="41"/>
      <c r="F38" s="40"/>
      <c r="G38" s="40"/>
      <c r="H38" s="40"/>
      <c r="I38" s="42"/>
      <c r="J38" s="39"/>
      <c r="K38" s="45"/>
      <c r="L38" s="48"/>
      <c r="M38" s="43"/>
    </row>
    <row r="39" spans="1:13" ht="9.4" customHeight="1" x14ac:dyDescent="0.35">
      <c r="A39" s="7" t="s">
        <v>70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49"/>
      <c r="M39" s="47" t="str">
        <f>cal!N39</f>
        <v>v29-01-2018</v>
      </c>
    </row>
    <row r="40" spans="1:13" ht="9.4" customHeight="1" x14ac:dyDescent="0.35">
      <c r="A40" s="7" t="s">
        <v>20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9.4" customHeight="1" x14ac:dyDescent="0.35">
      <c r="A41" s="7" t="s">
        <v>21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s="3" customFormat="1" ht="16.149999999999999" hidden="1" customHeight="1" x14ac:dyDescent="0.35"/>
    <row r="43" spans="1:13" x14ac:dyDescent="0.35"/>
    <row r="44" spans="1:13" x14ac:dyDescent="0.35"/>
    <row r="45" spans="1:13" x14ac:dyDescent="0.35"/>
    <row r="46" spans="1:13" x14ac:dyDescent="0.35"/>
    <row r="47" spans="1:13" x14ac:dyDescent="0.35"/>
    <row r="48" spans="1:13" x14ac:dyDescent="0.35"/>
  </sheetData>
  <sheetProtection algorithmName="SHA-512" hashValue="q1F4TK6tIUi0lf05JxsFoG3SbJPU3rERgmKP3uDctxQaVKwrrYWv3SQvWw3YrcYZeq0LiNao2+uq2zmDNcE4Fw==" saltValue="f37owwPhl6tO4R8q0B6DhA==" spinCount="100000" sheet="1" selectLockedCells="1"/>
  <mergeCells count="10">
    <mergeCell ref="A15:M15"/>
    <mergeCell ref="A21:M21"/>
    <mergeCell ref="A27:M27"/>
    <mergeCell ref="A33:M33"/>
    <mergeCell ref="A8:C8"/>
    <mergeCell ref="F8:I8"/>
    <mergeCell ref="A9:C9"/>
    <mergeCell ref="F9:I9"/>
    <mergeCell ref="A10:C10"/>
    <mergeCell ref="F10:I10"/>
  </mergeCells>
  <dataValidations disablePrompts="1" count="7">
    <dataValidation type="decimal" errorStyle="information" allowBlank="1" showErrorMessage="1" error="Eingabe außerhalb des gültigen Bereichs." prompt="20°C bis 35°C" sqref="J11" xr:uid="{00000000-0002-0000-0200-000000000000}">
      <formula1>0.01</formula1>
      <formula2>1</formula2>
    </dataValidation>
    <dataValidation type="whole" errorStyle="information" allowBlank="1" showErrorMessage="1" error="Eingabe außerhalb des gültigen Bereichs." prompt="Eingabe zwischen 5°C bis 20°C" sqref="J8" xr:uid="{00000000-0002-0000-0200-000001000000}">
      <formula1>5</formula1>
      <formula2>20</formula2>
    </dataValidation>
    <dataValidation type="whole" errorStyle="information" allowBlank="1" showErrorMessage="1" error="Eingabe außerhalb des gültigen Bereichs." prompt="Eingabe zwischen Vorlauftemp. und Raumtemp." sqref="J9" xr:uid="{00000000-0002-0000-0200-000002000000}">
      <formula1>J8</formula1>
      <formula2>J10</formula2>
    </dataValidation>
    <dataValidation type="whole" errorStyle="information" allowBlank="1" showErrorMessage="1" error="Temperatur außerhalb des gütligen Bereichs." prompt="Eingabe zwischen 30°C bis 95°C" sqref="D8" xr:uid="{00000000-0002-0000-02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D9" xr:uid="{00000000-0002-0000-0200-000004000000}">
      <formula1>D10</formula1>
      <formula2>D8</formula2>
    </dataValidation>
    <dataValidation type="whole" errorStyle="information" allowBlank="1" showErrorMessage="1" error="Eingabe außerhalb des gültigen Bereichs." prompt="Eingabe zwischen 16°C bis 30°C" sqref="D10" xr:uid="{00000000-0002-0000-0200-000005000000}">
      <formula1>16</formula1>
      <formula2>30</formula2>
    </dataValidation>
    <dataValidation type="whole" errorStyle="information" allowBlank="1" showErrorMessage="1" error="Eingabe außerhalb des gültigen Bereichs." prompt="20°C bis 35°C" sqref="J10" xr:uid="{00000000-0002-0000-0200-000006000000}">
      <formula1>20</formula1>
      <formula2>35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N48"/>
  <sheetViews>
    <sheetView topLeftCell="A13" workbookViewId="0">
      <selection activeCell="A33" activeCellId="3" sqref="A15:M15 A21:M21 A27:M27 A33:M33"/>
    </sheetView>
  </sheetViews>
  <sheetFormatPr defaultColWidth="0" defaultRowHeight="14.5" zeroHeight="1" x14ac:dyDescent="0.35"/>
  <cols>
    <col min="1" max="1" width="7" style="1" customWidth="1"/>
    <col min="2" max="2" width="6.1796875" style="1" customWidth="1"/>
    <col min="3" max="3" width="7" style="1" customWidth="1"/>
    <col min="4" max="4" width="6.7265625" style="1" customWidth="1"/>
    <col min="5" max="13" width="7" style="1" customWidth="1"/>
    <col min="14" max="14" width="2.1796875" style="1" hidden="1" customWidth="1"/>
    <col min="15" max="16384" width="11.453125" style="1" hidden="1"/>
  </cols>
  <sheetData>
    <row r="1" spans="1:13" s="3" customFormat="1" x14ac:dyDescent="0.35">
      <c r="A1" s="22"/>
    </row>
    <row r="2" spans="1:13" s="3" customFormat="1" x14ac:dyDescent="0.35">
      <c r="A2" s="24" t="s">
        <v>40</v>
      </c>
      <c r="B2" s="23"/>
    </row>
    <row r="3" spans="1:13" s="3" customFormat="1" x14ac:dyDescent="0.35">
      <c r="A3" s="22"/>
    </row>
    <row r="4" spans="1:13" s="3" customFormat="1" x14ac:dyDescent="0.35">
      <c r="A4" s="29" t="s">
        <v>31</v>
      </c>
    </row>
    <row r="5" spans="1:13" s="3" customFormat="1" ht="6" customHeight="1" x14ac:dyDescent="0.3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x14ac:dyDescent="0.35">
      <c r="A6" s="13" t="s">
        <v>22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4"/>
    </row>
    <row r="7" spans="1:13" x14ac:dyDescent="0.35">
      <c r="A7" s="13" t="s">
        <v>23</v>
      </c>
      <c r="B7" s="8"/>
      <c r="C7" s="8"/>
      <c r="D7" s="8"/>
      <c r="E7" s="8"/>
      <c r="F7" s="9" t="s">
        <v>24</v>
      </c>
      <c r="G7" s="9"/>
      <c r="H7" s="9"/>
      <c r="I7" s="8"/>
      <c r="J7" s="8"/>
      <c r="K7" s="8"/>
      <c r="L7" s="30"/>
      <c r="M7" s="14"/>
    </row>
    <row r="8" spans="1:13" x14ac:dyDescent="0.35">
      <c r="A8" s="204" t="str">
        <f>"Inlet temp. ["&amp;IF(cal!$U$3=1,"°C",IF(cal!$U$3=2,"°F"))&amp;"]"</f>
        <v>Inlet temp. [°C]</v>
      </c>
      <c r="B8" s="205"/>
      <c r="C8" s="205"/>
      <c r="D8" s="115">
        <f>cal!E8</f>
        <v>75</v>
      </c>
      <c r="E8" s="103"/>
      <c r="F8" s="205" t="str">
        <f>"Inlet temp. ["&amp;IF(cal!$U$3=1,"°C",IF(cal!$U$3=2,"°F"))&amp;"]"</f>
        <v>Inlet temp. [°C]</v>
      </c>
      <c r="G8" s="205"/>
      <c r="H8" s="205"/>
      <c r="I8" s="205"/>
      <c r="J8" s="115">
        <f>cal!K8</f>
        <v>7.9999999999999991</v>
      </c>
      <c r="K8" s="8"/>
      <c r="L8" s="8"/>
      <c r="M8" s="14"/>
    </row>
    <row r="9" spans="1:13" x14ac:dyDescent="0.35">
      <c r="A9" s="204" t="str">
        <f>"Return temp. ["&amp;IF(cal!$U$3=1,"°C",IF(cal!$U$3=2,"°F"))&amp;"]"</f>
        <v>Return temp. [°C]</v>
      </c>
      <c r="B9" s="205"/>
      <c r="C9" s="205"/>
      <c r="D9" s="115">
        <f>cal!E9</f>
        <v>65</v>
      </c>
      <c r="E9" s="103"/>
      <c r="F9" s="205" t="str">
        <f>"Return temp. ["&amp;IF(cal!$U$3=1,"°C",IF(cal!$U$3=2,"°F"))&amp;"]"</f>
        <v>Return temp. [°C]</v>
      </c>
      <c r="G9" s="205"/>
      <c r="H9" s="205"/>
      <c r="I9" s="205"/>
      <c r="J9" s="115">
        <f>cal!K9</f>
        <v>12</v>
      </c>
      <c r="K9" s="8"/>
      <c r="L9" s="8"/>
      <c r="M9" s="14"/>
    </row>
    <row r="10" spans="1:13" x14ac:dyDescent="0.35">
      <c r="A10" s="204" t="str">
        <f>"Room temp. ["&amp;IF(cal!$U$3=1,"°C",IF(cal!$U$3=2,"°F"))&amp;"]"</f>
        <v>Room temp. [°C]</v>
      </c>
      <c r="B10" s="205"/>
      <c r="C10" s="205"/>
      <c r="D10" s="115">
        <f>cal!E10</f>
        <v>20</v>
      </c>
      <c r="E10" s="103"/>
      <c r="F10" s="205" t="str">
        <f>"Room temp. ["&amp;IF(cal!$U$3=1,"°C",IF(cal!$U$3=2,"°F"))&amp;"]"</f>
        <v>Room temp. [°C]</v>
      </c>
      <c r="G10" s="205"/>
      <c r="H10" s="205"/>
      <c r="I10" s="205"/>
      <c r="J10" s="115">
        <f>cal!K10</f>
        <v>25</v>
      </c>
      <c r="K10" s="8"/>
      <c r="L10" s="8"/>
      <c r="M10" s="14"/>
    </row>
    <row r="11" spans="1:13" x14ac:dyDescent="0.35">
      <c r="A11" s="15"/>
      <c r="B11" s="8"/>
      <c r="C11" s="8"/>
      <c r="D11" s="8"/>
      <c r="E11" s="8"/>
      <c r="F11" s="8" t="s">
        <v>34</v>
      </c>
      <c r="G11" s="8"/>
      <c r="H11" s="8"/>
      <c r="I11" s="8"/>
      <c r="J11" s="67">
        <f>cal!K11</f>
        <v>0.5</v>
      </c>
      <c r="K11" s="8"/>
      <c r="L11" s="8"/>
      <c r="M11" s="14"/>
    </row>
    <row r="12" spans="1:13" ht="6" customHeight="1" x14ac:dyDescent="0.35">
      <c r="A12" s="16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9"/>
    </row>
    <row r="13" spans="1:13" x14ac:dyDescent="0.3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2" customFormat="1" ht="95.5" customHeight="1" x14ac:dyDescent="0.35">
      <c r="A14" s="27" t="s">
        <v>25</v>
      </c>
      <c r="B14" s="20" t="s">
        <v>26</v>
      </c>
      <c r="C14" s="27" t="str">
        <f>CONCATENATE("Heat output * ",ROUND(D8,0),"/",ROUND(D9,0),"/",ROUND(D10,0)," ["&amp;IF(cal!$U$3=1,"W",IF(cal!$U$3=2,"Btu/h"))&amp;"]")</f>
        <v>Heat output * 75/65/20 [W]</v>
      </c>
      <c r="D14" s="31" t="str">
        <f>"Water flowrate, heating ["&amp;IF(cal!$U$3=1,"l/h",IF(cal!$U$3=2,"GPM"))&amp;"]"</f>
        <v>Water flowrate, heating [l/h]</v>
      </c>
      <c r="E14" s="34" t="str">
        <f>"Watersided pressure loss ["&amp;IF(cal!$U$3=1,"kPa",IF(cal!$U$3=2,"inH2O"))&amp;"]"</f>
        <v>Watersided pressure loss [kPa]</v>
      </c>
      <c r="F14" s="20" t="str">
        <f>CONCATENATE("Sens. cooling capacity * ",ROUND(J8,0),"/",ROUND(J9,0),"/",ROUND(J10,0)," ["&amp;IF(cal!$U$3=1,"W",IF(cal!$U$3=2,"Btu/h"))&amp;"]")</f>
        <v>Sens. cooling capacity * 8/12/25 [W]</v>
      </c>
      <c r="G14" s="20" t="str">
        <f>CONCATENATE("Tot. cooling capacity ",ROUND(J8,0),"/",ROUND(J9,0),"/",ROUND(J10,0)," ["&amp;IF(cal!$U$3=1,"W",IF(cal!$U$3=2,"Btu/h"))&amp;"]")</f>
        <v>Tot. cooling capacity 8/12/25 [W]</v>
      </c>
      <c r="H14" s="20" t="str">
        <f>"Water flowrate, cooling ["&amp;IF(cal!$U$3=1,"l/h",IF(cal!$U$3=2,"GPM"))&amp;"]"</f>
        <v>Water flowrate, cooling [l/h]</v>
      </c>
      <c r="I14" s="21" t="str">
        <f>"Watersided pressure loss ["&amp;IF(cal!$U$3=1,"kPa",IF(cal!$U$3=2,"inH2O"))&amp;"]"</f>
        <v>Watersided pressure loss [kPa]</v>
      </c>
      <c r="J14" s="27" t="s">
        <v>27</v>
      </c>
      <c r="K14" s="33" t="s">
        <v>50</v>
      </c>
      <c r="L14" s="20" t="s">
        <v>28</v>
      </c>
      <c r="M14" s="26" t="str">
        <f>"Air flowrate ["&amp;IF(cal!$U$3=1,"m³/h",IF(cal!$U$3=2,"CFM"))&amp;"]"</f>
        <v>Air flowrate [m³/h]</v>
      </c>
    </row>
    <row r="15" spans="1:13" ht="18" customHeight="1" x14ac:dyDescent="0.35">
      <c r="A15" s="201" t="str">
        <f>"Clima Canal Height "&amp;ROUND(cal!V21,1)&amp;IF(cal!$U$3=1," cm",IF(cal!$U$3=2," in"))&amp; " Width "&amp;ROUND(cal!X21,1)&amp;IF(cal!$U$3=1," cm",IF(cal!$U$3=2," in"))&amp;" Length "&amp;ROUND(cal!Z21,1)&amp;IF(cal!$U$3=1," cm",IF(cal!$U$3=2," in"))&amp;" (Type 1)"</f>
        <v>Clima Canal Height 10 cm Width 18 cm Length 72 cm (Type 1)</v>
      </c>
      <c r="B15" s="202"/>
      <c r="C15" s="201"/>
      <c r="D15" s="203"/>
      <c r="E15" s="202"/>
      <c r="F15" s="202"/>
      <c r="G15" s="202"/>
      <c r="H15" s="202"/>
      <c r="I15" s="202"/>
      <c r="J15" s="201"/>
      <c r="K15" s="202"/>
      <c r="L15" s="202"/>
      <c r="M15" s="203"/>
    </row>
    <row r="16" spans="1:13" x14ac:dyDescent="0.35">
      <c r="A16" s="35"/>
      <c r="B16" s="4"/>
      <c r="C16" s="28"/>
      <c r="D16" s="5"/>
      <c r="E16" s="32"/>
      <c r="F16" s="5"/>
      <c r="G16" s="5"/>
      <c r="H16" s="5"/>
      <c r="I16" s="6"/>
      <c r="J16" s="28"/>
      <c r="K16" s="44"/>
      <c r="L16" s="48"/>
      <c r="M16" s="36"/>
    </row>
    <row r="17" spans="1:13" x14ac:dyDescent="0.35">
      <c r="A17" s="35"/>
      <c r="B17" s="4"/>
      <c r="C17" s="28"/>
      <c r="D17" s="5"/>
      <c r="E17" s="32"/>
      <c r="F17" s="5"/>
      <c r="G17" s="5"/>
      <c r="H17" s="5"/>
      <c r="I17" s="6"/>
      <c r="J17" s="28"/>
      <c r="K17" s="44"/>
      <c r="L17" s="48"/>
      <c r="M17" s="36"/>
    </row>
    <row r="18" spans="1:13" x14ac:dyDescent="0.35">
      <c r="A18" s="35"/>
      <c r="B18" s="4"/>
      <c r="C18" s="28"/>
      <c r="D18" s="5"/>
      <c r="E18" s="32"/>
      <c r="F18" s="5"/>
      <c r="G18" s="5"/>
      <c r="H18" s="5"/>
      <c r="I18" s="6"/>
      <c r="J18" s="28"/>
      <c r="K18" s="44"/>
      <c r="L18" s="48"/>
      <c r="M18" s="36"/>
    </row>
    <row r="19" spans="1:13" x14ac:dyDescent="0.35">
      <c r="A19" s="35"/>
      <c r="B19" s="4"/>
      <c r="C19" s="28"/>
      <c r="D19" s="5"/>
      <c r="E19" s="32"/>
      <c r="F19" s="5"/>
      <c r="G19" s="5"/>
      <c r="H19" s="5"/>
      <c r="I19" s="6"/>
      <c r="J19" s="28"/>
      <c r="K19" s="44"/>
      <c r="L19" s="48"/>
      <c r="M19" s="36"/>
    </row>
    <row r="20" spans="1:13" x14ac:dyDescent="0.35">
      <c r="A20" s="35"/>
      <c r="B20" s="4"/>
      <c r="C20" s="28"/>
      <c r="D20" s="5"/>
      <c r="E20" s="32"/>
      <c r="F20" s="5"/>
      <c r="G20" s="5"/>
      <c r="H20" s="5"/>
      <c r="I20" s="6"/>
      <c r="J20" s="28"/>
      <c r="K20" s="44"/>
      <c r="L20" s="48"/>
      <c r="M20" s="36"/>
    </row>
    <row r="21" spans="1:13" ht="16.899999999999999" customHeight="1" x14ac:dyDescent="0.35">
      <c r="A21" s="201" t="str">
        <f>"Clima Canal Height "&amp;ROUND(cal!V27,1)&amp;IF(cal!$U$3=1," cm",IF(cal!$U$3=2," in"))&amp; " Width "&amp;ROUND(cal!X27,1)&amp;IF(cal!$U$3=1," cm",IF(cal!$U$3=2," in"))&amp;" Length "&amp;ROUND(cal!Z27,1)&amp;IF(cal!$U$3=1," cm",IF(cal!$U$3=2," in"))&amp;" (Type 2)"</f>
        <v>Clima Canal Height 10 cm Width 18 cm Length 108 cm (Type 2)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3"/>
    </row>
    <row r="22" spans="1:13" x14ac:dyDescent="0.35">
      <c r="A22" s="35"/>
      <c r="B22" s="4"/>
      <c r="C22" s="28"/>
      <c r="D22" s="5"/>
      <c r="E22" s="32"/>
      <c r="F22" s="5"/>
      <c r="G22" s="5"/>
      <c r="H22" s="5"/>
      <c r="I22" s="6"/>
      <c r="J22" s="28"/>
      <c r="K22" s="44"/>
      <c r="L22" s="48"/>
      <c r="M22" s="36"/>
    </row>
    <row r="23" spans="1:13" x14ac:dyDescent="0.35">
      <c r="A23" s="35"/>
      <c r="B23" s="4"/>
      <c r="C23" s="28"/>
      <c r="D23" s="5"/>
      <c r="E23" s="32"/>
      <c r="F23" s="5"/>
      <c r="G23" s="5"/>
      <c r="H23" s="5"/>
      <c r="I23" s="6"/>
      <c r="J23" s="28"/>
      <c r="K23" s="44"/>
      <c r="L23" s="48"/>
      <c r="M23" s="36"/>
    </row>
    <row r="24" spans="1:13" x14ac:dyDescent="0.35">
      <c r="A24" s="35"/>
      <c r="B24" s="4"/>
      <c r="C24" s="28"/>
      <c r="D24" s="5"/>
      <c r="E24" s="32"/>
      <c r="F24" s="5"/>
      <c r="G24" s="5"/>
      <c r="H24" s="5"/>
      <c r="I24" s="6"/>
      <c r="J24" s="28"/>
      <c r="K24" s="44"/>
      <c r="L24" s="48"/>
      <c r="M24" s="36"/>
    </row>
    <row r="25" spans="1:13" x14ac:dyDescent="0.35">
      <c r="A25" s="35"/>
      <c r="B25" s="4"/>
      <c r="C25" s="28"/>
      <c r="D25" s="5"/>
      <c r="E25" s="32"/>
      <c r="F25" s="5"/>
      <c r="G25" s="5"/>
      <c r="H25" s="5"/>
      <c r="I25" s="6"/>
      <c r="J25" s="28"/>
      <c r="K25" s="44"/>
      <c r="L25" s="48"/>
      <c r="M25" s="36"/>
    </row>
    <row r="26" spans="1:13" x14ac:dyDescent="0.35">
      <c r="A26" s="35"/>
      <c r="B26" s="4"/>
      <c r="C26" s="28"/>
      <c r="D26" s="5"/>
      <c r="E26" s="32"/>
      <c r="F26" s="5"/>
      <c r="G26" s="5"/>
      <c r="H26" s="5"/>
      <c r="I26" s="6"/>
      <c r="J26" s="28"/>
      <c r="K26" s="44"/>
      <c r="L26" s="48"/>
      <c r="M26" s="36"/>
    </row>
    <row r="27" spans="1:13" ht="18" customHeight="1" x14ac:dyDescent="0.35">
      <c r="A27" s="201" t="str">
        <f>"Clima Canal Height "&amp;ROUND(cal!V33,1)&amp;IF(cal!$U$3=1," cm",IF(cal!$U$3=2," in"))&amp; " Width "&amp;ROUND(cal!X33,1)&amp;IF(cal!$U$3=1," cm",IF(cal!$U$3=2," in"))&amp;" Length "&amp;ROUND(cal!Z33,1)&amp;IF(cal!$U$3=1," cm",IF(cal!$U$3=2," in"))&amp;" (Type 3)"</f>
        <v>Clima Canal Height 10 cm Width 18 cm Length 144 cm (Type 3)</v>
      </c>
      <c r="B27" s="202"/>
      <c r="C27" s="201"/>
      <c r="D27" s="203"/>
      <c r="E27" s="202"/>
      <c r="F27" s="202"/>
      <c r="G27" s="202"/>
      <c r="H27" s="202"/>
      <c r="I27" s="202"/>
      <c r="J27" s="201"/>
      <c r="K27" s="202"/>
      <c r="L27" s="202"/>
      <c r="M27" s="203"/>
    </row>
    <row r="28" spans="1:13" x14ac:dyDescent="0.35">
      <c r="A28" s="35"/>
      <c r="B28" s="4"/>
      <c r="C28" s="28"/>
      <c r="D28" s="5"/>
      <c r="E28" s="32"/>
      <c r="F28" s="5"/>
      <c r="G28" s="5"/>
      <c r="H28" s="5"/>
      <c r="I28" s="6"/>
      <c r="J28" s="28"/>
      <c r="K28" s="44"/>
      <c r="L28" s="48"/>
      <c r="M28" s="36"/>
    </row>
    <row r="29" spans="1:13" x14ac:dyDescent="0.35">
      <c r="A29" s="35"/>
      <c r="B29" s="4"/>
      <c r="C29" s="28"/>
      <c r="D29" s="5"/>
      <c r="E29" s="32"/>
      <c r="F29" s="5"/>
      <c r="G29" s="5"/>
      <c r="H29" s="5"/>
      <c r="I29" s="6"/>
      <c r="J29" s="28"/>
      <c r="K29" s="44"/>
      <c r="L29" s="48"/>
      <c r="M29" s="36"/>
    </row>
    <row r="30" spans="1:13" x14ac:dyDescent="0.35">
      <c r="A30" s="35"/>
      <c r="B30" s="4"/>
      <c r="C30" s="28"/>
      <c r="D30" s="5"/>
      <c r="E30" s="32"/>
      <c r="F30" s="5"/>
      <c r="G30" s="5"/>
      <c r="H30" s="5"/>
      <c r="I30" s="6"/>
      <c r="J30" s="28"/>
      <c r="K30" s="44"/>
      <c r="L30" s="48"/>
      <c r="M30" s="36"/>
    </row>
    <row r="31" spans="1:13" x14ac:dyDescent="0.35">
      <c r="A31" s="35"/>
      <c r="B31" s="4"/>
      <c r="C31" s="28"/>
      <c r="D31" s="5"/>
      <c r="E31" s="32"/>
      <c r="F31" s="5"/>
      <c r="G31" s="5"/>
      <c r="H31" s="5"/>
      <c r="I31" s="6"/>
      <c r="J31" s="28"/>
      <c r="K31" s="44"/>
      <c r="L31" s="48"/>
      <c r="M31" s="36"/>
    </row>
    <row r="32" spans="1:13" x14ac:dyDescent="0.35">
      <c r="A32" s="35"/>
      <c r="B32" s="4"/>
      <c r="C32" s="28"/>
      <c r="D32" s="5"/>
      <c r="E32" s="32"/>
      <c r="F32" s="5"/>
      <c r="G32" s="5"/>
      <c r="H32" s="5"/>
      <c r="I32" s="6"/>
      <c r="J32" s="28"/>
      <c r="K32" s="44"/>
      <c r="L32" s="48"/>
      <c r="M32" s="36"/>
    </row>
    <row r="33" spans="1:13" ht="16.899999999999999" customHeight="1" x14ac:dyDescent="0.35">
      <c r="A33" s="201" t="str">
        <f>"Clima Canal Height "&amp;ROUND(cal!V39,1)&amp;IF(cal!$U$3=1," cm",IF(cal!$U$3=2," in"))&amp; " Width "&amp;ROUND(cal!X39,1)&amp;IF(cal!$U$3=1," cm",IF(cal!$U$3=2," in"))&amp;" Length "&amp;ROUND(cal!Z39,1)&amp;IF(cal!$U$3=1," cm",IF(cal!$U$3=2," in"))&amp;" (Type 4)"</f>
        <v>Clima Canal Height 10 cm Width 18 cm Length 180 cm (Type 4)</v>
      </c>
      <c r="B33" s="202"/>
      <c r="C33" s="201"/>
      <c r="D33" s="203"/>
      <c r="E33" s="202"/>
      <c r="F33" s="202"/>
      <c r="G33" s="202"/>
      <c r="H33" s="202"/>
      <c r="I33" s="202"/>
      <c r="J33" s="201"/>
      <c r="K33" s="202"/>
      <c r="L33" s="202"/>
      <c r="M33" s="203"/>
    </row>
    <row r="34" spans="1:13" x14ac:dyDescent="0.35">
      <c r="A34" s="35"/>
      <c r="B34" s="4"/>
      <c r="C34" s="28"/>
      <c r="D34" s="5"/>
      <c r="E34" s="32"/>
      <c r="F34" s="5"/>
      <c r="G34" s="5"/>
      <c r="H34" s="5"/>
      <c r="I34" s="6"/>
      <c r="J34" s="28"/>
      <c r="K34" s="44"/>
      <c r="L34" s="48"/>
      <c r="M34" s="36"/>
    </row>
    <row r="35" spans="1:13" x14ac:dyDescent="0.35">
      <c r="A35" s="35"/>
      <c r="B35" s="4"/>
      <c r="C35" s="28"/>
      <c r="D35" s="5"/>
      <c r="E35" s="32"/>
      <c r="F35" s="5"/>
      <c r="G35" s="5"/>
      <c r="H35" s="5"/>
      <c r="I35" s="6"/>
      <c r="J35" s="28"/>
      <c r="K35" s="44"/>
      <c r="L35" s="48"/>
      <c r="M35" s="36"/>
    </row>
    <row r="36" spans="1:13" x14ac:dyDescent="0.35">
      <c r="A36" s="35"/>
      <c r="B36" s="4"/>
      <c r="C36" s="28"/>
      <c r="D36" s="5"/>
      <c r="E36" s="32"/>
      <c r="F36" s="5"/>
      <c r="G36" s="5"/>
      <c r="H36" s="5"/>
      <c r="I36" s="6"/>
      <c r="J36" s="28"/>
      <c r="K36" s="44"/>
      <c r="L36" s="48"/>
      <c r="M36" s="36"/>
    </row>
    <row r="37" spans="1:13" x14ac:dyDescent="0.35">
      <c r="A37" s="35"/>
      <c r="B37" s="4"/>
      <c r="C37" s="28"/>
      <c r="D37" s="5"/>
      <c r="E37" s="32"/>
      <c r="F37" s="5"/>
      <c r="G37" s="5"/>
      <c r="H37" s="5"/>
      <c r="I37" s="6"/>
      <c r="J37" s="28"/>
      <c r="K37" s="44"/>
      <c r="L37" s="48"/>
      <c r="M37" s="36"/>
    </row>
    <row r="38" spans="1:13" x14ac:dyDescent="0.35">
      <c r="A38" s="37"/>
      <c r="B38" s="38"/>
      <c r="C38" s="39"/>
      <c r="D38" s="40"/>
      <c r="E38" s="41"/>
      <c r="F38" s="40"/>
      <c r="G38" s="40"/>
      <c r="H38" s="40"/>
      <c r="I38" s="42"/>
      <c r="J38" s="39"/>
      <c r="K38" s="45"/>
      <c r="L38" s="48"/>
      <c r="M38" s="43"/>
    </row>
    <row r="39" spans="1:13" ht="9.4" customHeight="1" x14ac:dyDescent="0.35">
      <c r="A39" s="7" t="s">
        <v>69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49"/>
      <c r="M39" s="47" t="str">
        <f>cal!N39</f>
        <v>v29-01-2018</v>
      </c>
    </row>
    <row r="40" spans="1:13" ht="9.4" customHeight="1" x14ac:dyDescent="0.35">
      <c r="A40" s="7" t="s">
        <v>29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9.4" customHeight="1" x14ac:dyDescent="0.35">
      <c r="A41" s="7" t="s">
        <v>30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s="3" customFormat="1" ht="16.149999999999999" hidden="1" customHeight="1" x14ac:dyDescent="0.35"/>
    <row r="43" spans="1:13" x14ac:dyDescent="0.35"/>
    <row r="44" spans="1:13" x14ac:dyDescent="0.35"/>
    <row r="45" spans="1:13" x14ac:dyDescent="0.35"/>
    <row r="46" spans="1:13" x14ac:dyDescent="0.35"/>
    <row r="47" spans="1:13" x14ac:dyDescent="0.35"/>
    <row r="48" spans="1:13" x14ac:dyDescent="0.35"/>
  </sheetData>
  <sheetProtection algorithmName="SHA-512" hashValue="t2TT4mBoSjj9l29QXriL8dc91n+7J/ep/swy46W57bT9pjQv+MPqEyeY6X3yJT0KnqkTvRz8HaNbU1cp+L4Qmg==" saltValue="nWl+48E7l/SuvcP3iaO0ng==" spinCount="100000" sheet="1" selectLockedCells="1"/>
  <mergeCells count="10">
    <mergeCell ref="A15:M15"/>
    <mergeCell ref="A21:M21"/>
    <mergeCell ref="A27:M27"/>
    <mergeCell ref="A33:M33"/>
    <mergeCell ref="A8:C8"/>
    <mergeCell ref="F8:I8"/>
    <mergeCell ref="A9:C9"/>
    <mergeCell ref="F9:I9"/>
    <mergeCell ref="A10:C10"/>
    <mergeCell ref="F10:I10"/>
  </mergeCells>
  <dataValidations count="7">
    <dataValidation type="whole" errorStyle="information" allowBlank="1" showErrorMessage="1" error="Eingabe außerhalb des gültigen Bereichs." prompt="20°C bis 35°C" sqref="J10" xr:uid="{00000000-0002-0000-03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3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3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3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3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3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300-000006000000}">
      <formula1>0.01</formula1>
      <formula2>1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N48"/>
  <sheetViews>
    <sheetView topLeftCell="A13" workbookViewId="0">
      <selection activeCell="A15" sqref="A15:M15"/>
    </sheetView>
  </sheetViews>
  <sheetFormatPr defaultColWidth="0" defaultRowHeight="14.5" zeroHeight="1" x14ac:dyDescent="0.35"/>
  <cols>
    <col min="1" max="1" width="7" style="1" customWidth="1"/>
    <col min="2" max="2" width="6.1796875" style="1" customWidth="1"/>
    <col min="3" max="3" width="7" style="1" customWidth="1"/>
    <col min="4" max="4" width="6.7265625" style="1" customWidth="1"/>
    <col min="5" max="13" width="7" style="1" customWidth="1"/>
    <col min="14" max="14" width="2.1796875" style="1" hidden="1" customWidth="1"/>
    <col min="15" max="16384" width="11.453125" style="1" hidden="1"/>
  </cols>
  <sheetData>
    <row r="1" spans="1:13" s="3" customFormat="1" x14ac:dyDescent="0.35">
      <c r="A1" s="22"/>
    </row>
    <row r="2" spans="1:13" s="3" customFormat="1" x14ac:dyDescent="0.35">
      <c r="A2" s="24" t="s">
        <v>3</v>
      </c>
      <c r="B2" s="23"/>
    </row>
    <row r="3" spans="1:13" s="3" customFormat="1" x14ac:dyDescent="0.35">
      <c r="A3" s="22"/>
    </row>
    <row r="4" spans="1:13" s="3" customFormat="1" x14ac:dyDescent="0.35">
      <c r="A4" s="29" t="s">
        <v>5</v>
      </c>
    </row>
    <row r="5" spans="1:13" s="3" customFormat="1" ht="6" customHeight="1" x14ac:dyDescent="0.3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x14ac:dyDescent="0.35">
      <c r="A6" s="13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4"/>
    </row>
    <row r="7" spans="1:13" x14ac:dyDescent="0.35">
      <c r="A7" s="13" t="s">
        <v>2</v>
      </c>
      <c r="B7" s="8"/>
      <c r="C7" s="8"/>
      <c r="D7" s="8"/>
      <c r="E7" s="8"/>
      <c r="F7" s="9" t="s">
        <v>10</v>
      </c>
      <c r="G7" s="9"/>
      <c r="H7" s="9"/>
      <c r="I7" s="8"/>
      <c r="J7" s="8"/>
      <c r="K7" s="8"/>
      <c r="L7" s="30"/>
      <c r="M7" s="14"/>
    </row>
    <row r="8" spans="1:13" x14ac:dyDescent="0.35">
      <c r="A8" s="204" t="str">
        <f>"Vorlauftemp. ["&amp;IF(cal!$U$3=1,"°C",IF(cal!$U$3=2,"°F"))&amp;"]"</f>
        <v>Vorlauftemp. [°C]</v>
      </c>
      <c r="B8" s="205"/>
      <c r="C8" s="205"/>
      <c r="D8" s="115">
        <f>cal!E8</f>
        <v>75</v>
      </c>
      <c r="E8" s="103"/>
      <c r="F8" s="205" t="str">
        <f>"Vorlauftemp. ["&amp;IF(cal!$U$3=1,"°C",IF(cal!$U$3=2,"°F"))&amp;"]"</f>
        <v>Vorlauftemp. [°C]</v>
      </c>
      <c r="G8" s="205"/>
      <c r="H8" s="205"/>
      <c r="I8" s="205"/>
      <c r="J8" s="115">
        <f>cal!K8</f>
        <v>7.9999999999999991</v>
      </c>
      <c r="K8" s="8"/>
      <c r="L8" s="8"/>
      <c r="M8" s="14"/>
    </row>
    <row r="9" spans="1:13" x14ac:dyDescent="0.35">
      <c r="A9" s="204" t="str">
        <f>"Rücklauftemp. ["&amp;IF(cal!$U$3=1,"°C",IF(cal!$U$3=2,"°F"))&amp;"]"</f>
        <v>Rücklauftemp. [°C]</v>
      </c>
      <c r="B9" s="205"/>
      <c r="C9" s="205"/>
      <c r="D9" s="115">
        <f>cal!E9</f>
        <v>65</v>
      </c>
      <c r="E9" s="103"/>
      <c r="F9" s="205" t="str">
        <f>"Rücklauftemp. ["&amp;IF(cal!$U$3=1,"°C",IF(cal!$U$3=2,"°F"))&amp;"]"</f>
        <v>Rücklauftemp. [°C]</v>
      </c>
      <c r="G9" s="205"/>
      <c r="H9" s="205"/>
      <c r="I9" s="205"/>
      <c r="J9" s="115">
        <f>cal!K9</f>
        <v>12</v>
      </c>
      <c r="K9" s="8"/>
      <c r="L9" s="8"/>
      <c r="M9" s="14"/>
    </row>
    <row r="10" spans="1:13" x14ac:dyDescent="0.35">
      <c r="A10" s="204" t="str">
        <f>"Raumtemp. ["&amp;IF(cal!$U$3=1,"°C",IF(cal!$U$3=2,"°F"))&amp;"]"</f>
        <v>Raumtemp. [°C]</v>
      </c>
      <c r="B10" s="205"/>
      <c r="C10" s="205"/>
      <c r="D10" s="115">
        <f>cal!E10</f>
        <v>20</v>
      </c>
      <c r="E10" s="103"/>
      <c r="F10" s="205" t="str">
        <f>"Raumtemp. ["&amp;IF(cal!$U$3=1,"°C",IF(cal!$U$3=2,"°F"))&amp;"]"</f>
        <v>Raumtemp. [°C]</v>
      </c>
      <c r="G10" s="205"/>
      <c r="H10" s="205"/>
      <c r="I10" s="205"/>
      <c r="J10" s="115">
        <f>cal!K10</f>
        <v>25</v>
      </c>
      <c r="K10" s="8"/>
      <c r="L10" s="8"/>
      <c r="M10" s="14"/>
    </row>
    <row r="11" spans="1:13" x14ac:dyDescent="0.35">
      <c r="A11" s="15"/>
      <c r="B11" s="8"/>
      <c r="C11" s="8"/>
      <c r="D11" s="8"/>
      <c r="E11" s="8"/>
      <c r="F11" s="8" t="s">
        <v>33</v>
      </c>
      <c r="G11" s="8"/>
      <c r="H11" s="8"/>
      <c r="I11" s="8"/>
      <c r="J11" s="67">
        <f>cal!K11</f>
        <v>0.5</v>
      </c>
      <c r="K11" s="8"/>
      <c r="L11" s="8"/>
      <c r="M11" s="14"/>
    </row>
    <row r="12" spans="1:13" ht="6" customHeight="1" x14ac:dyDescent="0.35">
      <c r="A12" s="16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9"/>
    </row>
    <row r="13" spans="1:13" x14ac:dyDescent="0.3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2" customFormat="1" ht="95.5" customHeight="1" x14ac:dyDescent="0.35">
      <c r="A14" s="27" t="s">
        <v>0</v>
      </c>
      <c r="B14" s="20" t="s">
        <v>1</v>
      </c>
      <c r="C14" s="27" t="str">
        <f>CONCATENATE("Wärmeleistung * ",ROUND(D8,0),"/",ROUND(D9,0),"/",ROUND(D10,0)," ["&amp;IF(cal!$U$3=1,"W",IF(cal!$U$3=2,"Btu/h"))&amp;"]")</f>
        <v>Wärmeleistung * 75/65/20 [W]</v>
      </c>
      <c r="D14" s="31" t="str">
        <f>"Heizmittelstrom ["&amp;IF(cal!$U$3=1,"l/h",IF(cal!$U$3=2,"GPM"))&amp;"]"</f>
        <v>Heizmittelstrom [l/h]</v>
      </c>
      <c r="E14" s="34" t="str">
        <f>"zug. wassers. Druckverlust ["&amp;IF(cal!$U$3=1,"kPa",IF(cal!$U$3=2,"inH2O"))&amp;"]"</f>
        <v>zug. wassers. Druckverlust [kPa]</v>
      </c>
      <c r="F14" s="20" t="str">
        <f>CONCATENATE("Sens. Kälteleistung * ",ROUND(J8,0),"/",ROUND(J9,0),"/",ROUND(J10,0)," ["&amp;IF(cal!$U$3=1,"W",IF(cal!$U$3=2,"Btu/h"))&amp;"]")</f>
        <v>Sens. Kälteleistung * 8/12/25 [W]</v>
      </c>
      <c r="G14" s="20" t="str">
        <f>CONCATENATE("Tot. Kälteleistung ",ROUND(J8,0),"/",ROUND(J9,0),"/",ROUND(J10,0)," ["&amp;IF(cal!$U$3=1,"W",IF(cal!$U$3=2,"Btu/h"))&amp;"]")</f>
        <v>Tot. Kälteleistung 8/12/25 [W]</v>
      </c>
      <c r="H14" s="20" t="str">
        <f>"Kühlmittelstrom ["&amp;IF(cal!$U$3=1,"l/h",IF(cal!$U$3=2,"GPM"))&amp;"]"</f>
        <v>Kühlmittelstrom [l/h]</v>
      </c>
      <c r="I14" s="21" t="str">
        <f>"zug. wassers. Druckverlust ["&amp;IF(cal!$U$3=1,"kPa",IF(cal!$U$3=2,"inH2O"))&amp;"]"</f>
        <v>zug. wassers. Druckverlust [kPa]</v>
      </c>
      <c r="J14" s="27" t="s">
        <v>9</v>
      </c>
      <c r="K14" s="33" t="s">
        <v>51</v>
      </c>
      <c r="L14" s="20" t="s">
        <v>6</v>
      </c>
      <c r="M14" s="26" t="str">
        <f>"Luftvolumenstrom ["&amp;IF(cal!$U$3=1,"m³/h",IF(cal!$U$3=2,"CFM"))&amp;"]"</f>
        <v>Luftvolumenstrom [m³/h]</v>
      </c>
    </row>
    <row r="15" spans="1:13" ht="18" customHeight="1" x14ac:dyDescent="0.35">
      <c r="A15" s="201" t="str">
        <f>"Clima Canal Höhe "&amp;ROUND(cal!V21,1)&amp;IF(cal!$U$3=1," cm",IF(cal!$U$3=2," in"))&amp; " Breite "&amp;ROUND(cal!X21,1)&amp;IF(cal!$U$3=1," cm",IF(cal!$U$3=2," in"))&amp;" Länge "&amp;ROUND(cal!Z21,1)&amp;IF(cal!$U$3=1," cm",IF(cal!$U$3=2," in"))&amp;" (Type 1)"</f>
        <v>Clima Canal Höhe 10 cm Breite 18 cm Länge 72 cm (Type 1)</v>
      </c>
      <c r="B15" s="202"/>
      <c r="C15" s="201"/>
      <c r="D15" s="203"/>
      <c r="E15" s="202"/>
      <c r="F15" s="202"/>
      <c r="G15" s="202"/>
      <c r="H15" s="202"/>
      <c r="I15" s="202"/>
      <c r="J15" s="201"/>
      <c r="K15" s="202"/>
      <c r="L15" s="202"/>
      <c r="M15" s="203"/>
    </row>
    <row r="16" spans="1:13" x14ac:dyDescent="0.35">
      <c r="A16" s="35"/>
      <c r="B16" s="4"/>
      <c r="C16" s="28"/>
      <c r="D16" s="5"/>
      <c r="E16" s="32"/>
      <c r="F16" s="5"/>
      <c r="G16" s="5"/>
      <c r="H16" s="5"/>
      <c r="I16" s="6"/>
      <c r="J16" s="28"/>
      <c r="K16" s="44"/>
      <c r="L16" s="48"/>
      <c r="M16" s="36"/>
    </row>
    <row r="17" spans="1:13" x14ac:dyDescent="0.35">
      <c r="A17" s="35"/>
      <c r="B17" s="4"/>
      <c r="C17" s="28"/>
      <c r="D17" s="5"/>
      <c r="E17" s="32"/>
      <c r="F17" s="5"/>
      <c r="G17" s="5"/>
      <c r="H17" s="5"/>
      <c r="I17" s="6"/>
      <c r="J17" s="28"/>
      <c r="K17" s="44"/>
      <c r="L17" s="48"/>
      <c r="M17" s="36"/>
    </row>
    <row r="18" spans="1:13" x14ac:dyDescent="0.35">
      <c r="A18" s="35"/>
      <c r="B18" s="4"/>
      <c r="C18" s="28"/>
      <c r="D18" s="5"/>
      <c r="E18" s="32"/>
      <c r="F18" s="5"/>
      <c r="G18" s="5"/>
      <c r="H18" s="5"/>
      <c r="I18" s="6"/>
      <c r="J18" s="28"/>
      <c r="K18" s="44"/>
      <c r="L18" s="48"/>
      <c r="M18" s="36"/>
    </row>
    <row r="19" spans="1:13" x14ac:dyDescent="0.35">
      <c r="A19" s="35"/>
      <c r="B19" s="4"/>
      <c r="C19" s="28"/>
      <c r="D19" s="5"/>
      <c r="E19" s="32"/>
      <c r="F19" s="5"/>
      <c r="G19" s="5"/>
      <c r="H19" s="5"/>
      <c r="I19" s="6"/>
      <c r="J19" s="28"/>
      <c r="K19" s="44"/>
      <c r="L19" s="48"/>
      <c r="M19" s="36"/>
    </row>
    <row r="20" spans="1:13" x14ac:dyDescent="0.35">
      <c r="A20" s="35"/>
      <c r="B20" s="4"/>
      <c r="C20" s="28"/>
      <c r="D20" s="5"/>
      <c r="E20" s="32"/>
      <c r="F20" s="5"/>
      <c r="G20" s="5"/>
      <c r="H20" s="5"/>
      <c r="I20" s="6"/>
      <c r="J20" s="28"/>
      <c r="K20" s="44"/>
      <c r="L20" s="48"/>
      <c r="M20" s="36"/>
    </row>
    <row r="21" spans="1:13" ht="16.899999999999999" customHeight="1" x14ac:dyDescent="0.35">
      <c r="A21" s="201" t="str">
        <f>"Clima Canal Höhe "&amp;ROUND(cal!V27,1)&amp;IF(cal!$U$3=1," cm",IF(cal!$U$3=2," in"))&amp; " Breite "&amp;ROUND(cal!X27,1)&amp;IF(cal!$U$3=1," cm",IF(cal!$U$3=2," in"))&amp;" Länge "&amp;ROUND(cal!Z27,1)&amp;IF(cal!$U$3=1," cm",IF(cal!$U$3=2," in"))&amp;" (Type 2)"</f>
        <v>Clima Canal Höhe 10 cm Breite 18 cm Länge 108 cm (Type 2)</v>
      </c>
      <c r="B21" s="202"/>
      <c r="C21" s="201"/>
      <c r="D21" s="203"/>
      <c r="E21" s="202"/>
      <c r="F21" s="202"/>
      <c r="G21" s="202"/>
      <c r="H21" s="202"/>
      <c r="I21" s="202"/>
      <c r="J21" s="201"/>
      <c r="K21" s="202"/>
      <c r="L21" s="202"/>
      <c r="M21" s="203"/>
    </row>
    <row r="22" spans="1:13" x14ac:dyDescent="0.35">
      <c r="A22" s="35"/>
      <c r="B22" s="4"/>
      <c r="C22" s="28"/>
      <c r="D22" s="5"/>
      <c r="E22" s="32"/>
      <c r="F22" s="5"/>
      <c r="G22" s="5"/>
      <c r="H22" s="5"/>
      <c r="I22" s="6"/>
      <c r="J22" s="28"/>
      <c r="K22" s="44"/>
      <c r="L22" s="48"/>
      <c r="M22" s="36"/>
    </row>
    <row r="23" spans="1:13" x14ac:dyDescent="0.35">
      <c r="A23" s="35"/>
      <c r="B23" s="4"/>
      <c r="C23" s="28"/>
      <c r="D23" s="5"/>
      <c r="E23" s="32"/>
      <c r="F23" s="5"/>
      <c r="G23" s="5"/>
      <c r="H23" s="5"/>
      <c r="I23" s="6"/>
      <c r="J23" s="28"/>
      <c r="K23" s="44"/>
      <c r="L23" s="48"/>
      <c r="M23" s="36"/>
    </row>
    <row r="24" spans="1:13" x14ac:dyDescent="0.35">
      <c r="A24" s="35"/>
      <c r="B24" s="4"/>
      <c r="C24" s="28"/>
      <c r="D24" s="5"/>
      <c r="E24" s="32"/>
      <c r="F24" s="5"/>
      <c r="G24" s="5"/>
      <c r="H24" s="5"/>
      <c r="I24" s="6"/>
      <c r="J24" s="28"/>
      <c r="K24" s="44"/>
      <c r="L24" s="48"/>
      <c r="M24" s="36"/>
    </row>
    <row r="25" spans="1:13" x14ac:dyDescent="0.35">
      <c r="A25" s="35"/>
      <c r="B25" s="4"/>
      <c r="C25" s="28"/>
      <c r="D25" s="5"/>
      <c r="E25" s="32"/>
      <c r="F25" s="5"/>
      <c r="G25" s="5"/>
      <c r="H25" s="5"/>
      <c r="I25" s="6"/>
      <c r="J25" s="28"/>
      <c r="K25" s="44"/>
      <c r="L25" s="48"/>
      <c r="M25" s="36"/>
    </row>
    <row r="26" spans="1:13" x14ac:dyDescent="0.35">
      <c r="A26" s="35"/>
      <c r="B26" s="4"/>
      <c r="C26" s="28"/>
      <c r="D26" s="5"/>
      <c r="E26" s="32"/>
      <c r="F26" s="5"/>
      <c r="G26" s="5"/>
      <c r="H26" s="5"/>
      <c r="I26" s="6"/>
      <c r="J26" s="28"/>
      <c r="K26" s="44"/>
      <c r="L26" s="48"/>
      <c r="M26" s="36"/>
    </row>
    <row r="27" spans="1:13" ht="18" customHeight="1" x14ac:dyDescent="0.35">
      <c r="A27" s="201" t="str">
        <f>"Clima Canal Höhe "&amp;ROUND(cal!V33,1)&amp;IF(cal!$U$3=1," cm",IF(cal!$U$3=2," in"))&amp; " Breite "&amp;ROUND(cal!X33,1)&amp;IF(cal!$U$3=1," cm",IF(cal!$U$3=2," in"))&amp;" Länge "&amp;ROUND(cal!Z33,1)&amp;IF(cal!$U$3=1," cm",IF(cal!$U$3=2," in"))&amp;" (Type 3)"</f>
        <v>Clima Canal Höhe 10 cm Breite 18 cm Länge 144 cm (Type 3)</v>
      </c>
      <c r="B27" s="202"/>
      <c r="C27" s="201"/>
      <c r="D27" s="203"/>
      <c r="E27" s="202"/>
      <c r="F27" s="202"/>
      <c r="G27" s="202"/>
      <c r="H27" s="202"/>
      <c r="I27" s="202"/>
      <c r="J27" s="201"/>
      <c r="K27" s="202"/>
      <c r="L27" s="202"/>
      <c r="M27" s="203"/>
    </row>
    <row r="28" spans="1:13" x14ac:dyDescent="0.35">
      <c r="A28" s="35"/>
      <c r="B28" s="4"/>
      <c r="C28" s="28"/>
      <c r="D28" s="5"/>
      <c r="E28" s="32"/>
      <c r="F28" s="5"/>
      <c r="G28" s="5"/>
      <c r="H28" s="5"/>
      <c r="I28" s="6"/>
      <c r="J28" s="28"/>
      <c r="K28" s="44"/>
      <c r="L28" s="48"/>
      <c r="M28" s="36"/>
    </row>
    <row r="29" spans="1:13" x14ac:dyDescent="0.35">
      <c r="A29" s="35"/>
      <c r="B29" s="4"/>
      <c r="C29" s="28"/>
      <c r="D29" s="5"/>
      <c r="E29" s="32"/>
      <c r="F29" s="5"/>
      <c r="G29" s="5"/>
      <c r="H29" s="5"/>
      <c r="I29" s="6"/>
      <c r="J29" s="28"/>
      <c r="K29" s="44"/>
      <c r="L29" s="48"/>
      <c r="M29" s="36"/>
    </row>
    <row r="30" spans="1:13" x14ac:dyDescent="0.35">
      <c r="A30" s="35"/>
      <c r="B30" s="4"/>
      <c r="C30" s="28"/>
      <c r="D30" s="5"/>
      <c r="E30" s="32"/>
      <c r="F30" s="5"/>
      <c r="G30" s="5"/>
      <c r="H30" s="5"/>
      <c r="I30" s="6"/>
      <c r="J30" s="28"/>
      <c r="K30" s="44"/>
      <c r="L30" s="48"/>
      <c r="M30" s="36"/>
    </row>
    <row r="31" spans="1:13" x14ac:dyDescent="0.35">
      <c r="A31" s="35"/>
      <c r="B31" s="4"/>
      <c r="C31" s="28"/>
      <c r="D31" s="5"/>
      <c r="E31" s="32"/>
      <c r="F31" s="5"/>
      <c r="G31" s="5"/>
      <c r="H31" s="5"/>
      <c r="I31" s="6"/>
      <c r="J31" s="28"/>
      <c r="K31" s="44"/>
      <c r="L31" s="48"/>
      <c r="M31" s="36"/>
    </row>
    <row r="32" spans="1:13" x14ac:dyDescent="0.35">
      <c r="A32" s="35"/>
      <c r="B32" s="4"/>
      <c r="C32" s="28"/>
      <c r="D32" s="5"/>
      <c r="E32" s="32"/>
      <c r="F32" s="5"/>
      <c r="G32" s="5"/>
      <c r="H32" s="5"/>
      <c r="I32" s="6"/>
      <c r="J32" s="28"/>
      <c r="K32" s="44"/>
      <c r="L32" s="48"/>
      <c r="M32" s="36"/>
    </row>
    <row r="33" spans="1:13" ht="16.899999999999999" customHeight="1" x14ac:dyDescent="0.35">
      <c r="A33" s="201" t="str">
        <f>"Clima Canal Höhe "&amp;ROUND(cal!V39,1)&amp;IF(cal!$U$3=1," cm",IF(cal!$U$3=2," in"))&amp; " Breite "&amp;ROUND(cal!X39,1)&amp;IF(cal!$U$3=1," cm",IF(cal!$U$3=2," in"))&amp;" Länge "&amp;ROUND(cal!Z39,1)&amp;IF(cal!$U$3=1," cm",IF(cal!$U$3=2," in"))&amp;" (Type 4)"</f>
        <v>Clima Canal Höhe 10 cm Breite 18 cm Länge 180 cm (Type 4)</v>
      </c>
      <c r="B33" s="202"/>
      <c r="C33" s="201"/>
      <c r="D33" s="203"/>
      <c r="E33" s="202"/>
      <c r="F33" s="202"/>
      <c r="G33" s="202"/>
      <c r="H33" s="202"/>
      <c r="I33" s="202"/>
      <c r="J33" s="201"/>
      <c r="K33" s="202"/>
      <c r="L33" s="202"/>
      <c r="M33" s="203"/>
    </row>
    <row r="34" spans="1:13" x14ac:dyDescent="0.35">
      <c r="A34" s="35"/>
      <c r="B34" s="4"/>
      <c r="C34" s="28"/>
      <c r="D34" s="5"/>
      <c r="E34" s="32"/>
      <c r="F34" s="5"/>
      <c r="G34" s="5"/>
      <c r="H34" s="5"/>
      <c r="I34" s="6"/>
      <c r="J34" s="28"/>
      <c r="K34" s="44"/>
      <c r="L34" s="48"/>
      <c r="M34" s="36"/>
    </row>
    <row r="35" spans="1:13" x14ac:dyDescent="0.35">
      <c r="A35" s="35"/>
      <c r="B35" s="4"/>
      <c r="C35" s="28"/>
      <c r="D35" s="5"/>
      <c r="E35" s="32"/>
      <c r="F35" s="5"/>
      <c r="G35" s="5"/>
      <c r="H35" s="5"/>
      <c r="I35" s="6"/>
      <c r="J35" s="28"/>
      <c r="K35" s="44"/>
      <c r="L35" s="48"/>
      <c r="M35" s="36"/>
    </row>
    <row r="36" spans="1:13" x14ac:dyDescent="0.35">
      <c r="A36" s="35"/>
      <c r="B36" s="4"/>
      <c r="C36" s="28"/>
      <c r="D36" s="5"/>
      <c r="E36" s="32"/>
      <c r="F36" s="5"/>
      <c r="G36" s="5"/>
      <c r="H36" s="5"/>
      <c r="I36" s="6"/>
      <c r="J36" s="28"/>
      <c r="K36" s="44"/>
      <c r="L36" s="48"/>
      <c r="M36" s="36"/>
    </row>
    <row r="37" spans="1:13" x14ac:dyDescent="0.35">
      <c r="A37" s="35"/>
      <c r="B37" s="4"/>
      <c r="C37" s="28"/>
      <c r="D37" s="5"/>
      <c r="E37" s="32"/>
      <c r="F37" s="5"/>
      <c r="G37" s="5"/>
      <c r="H37" s="5"/>
      <c r="I37" s="6"/>
      <c r="J37" s="28"/>
      <c r="K37" s="44"/>
      <c r="L37" s="48"/>
      <c r="M37" s="36"/>
    </row>
    <row r="38" spans="1:13" x14ac:dyDescent="0.35">
      <c r="A38" s="37"/>
      <c r="B38" s="38"/>
      <c r="C38" s="39"/>
      <c r="D38" s="40"/>
      <c r="E38" s="41"/>
      <c r="F38" s="40"/>
      <c r="G38" s="40"/>
      <c r="H38" s="40"/>
      <c r="I38" s="42"/>
      <c r="J38" s="39"/>
      <c r="K38" s="45"/>
      <c r="L38" s="48"/>
      <c r="M38" s="43"/>
    </row>
    <row r="39" spans="1:13" ht="9.4" customHeight="1" x14ac:dyDescent="0.35">
      <c r="A39" s="7" t="s">
        <v>68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49"/>
      <c r="M39" s="47" t="str">
        <f>cal!N39</f>
        <v>v29-01-2018</v>
      </c>
    </row>
    <row r="40" spans="1:13" ht="9.4" customHeight="1" x14ac:dyDescent="0.35">
      <c r="A40" s="7" t="s">
        <v>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9.4" customHeight="1" x14ac:dyDescent="0.35">
      <c r="A41" s="7" t="s">
        <v>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s="3" customFormat="1" ht="16.149999999999999" hidden="1" customHeight="1" x14ac:dyDescent="0.35"/>
    <row r="43" spans="1:13" x14ac:dyDescent="0.35"/>
    <row r="44" spans="1:13" x14ac:dyDescent="0.35"/>
    <row r="45" spans="1:13" x14ac:dyDescent="0.35"/>
    <row r="46" spans="1:13" x14ac:dyDescent="0.35"/>
    <row r="47" spans="1:13" x14ac:dyDescent="0.35"/>
    <row r="48" spans="1:13" x14ac:dyDescent="0.35"/>
  </sheetData>
  <sheetProtection algorithmName="SHA-512" hashValue="36RuyIyv6RYaqi3e9W75AeS4qi1yWnIlnsiCjwjMMZYlxgZJL9AqK8MtpEqGv8StWsirDNg6bMb8Eleg5jg6vg==" saltValue="oZORj8w9WOUbBtjF2gi+1A==" spinCount="100000" sheet="1" selectLockedCells="1"/>
  <mergeCells count="10">
    <mergeCell ref="A15:M15"/>
    <mergeCell ref="A21:M21"/>
    <mergeCell ref="A27:M27"/>
    <mergeCell ref="A33:M33"/>
    <mergeCell ref="A8:C8"/>
    <mergeCell ref="F8:I8"/>
    <mergeCell ref="A9:C9"/>
    <mergeCell ref="F9:I9"/>
    <mergeCell ref="A10:C10"/>
    <mergeCell ref="F10:I10"/>
  </mergeCells>
  <dataValidations count="7">
    <dataValidation type="whole" errorStyle="information" allowBlank="1" showErrorMessage="1" error="Eingabe außerhalb des gültigen Bereichs." prompt="20°C bis 35°C" sqref="J10" xr:uid="{00000000-0002-0000-04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4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4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4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4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4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400-000006000000}">
      <formula1>0.01</formula1>
      <formula2>1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N48"/>
  <sheetViews>
    <sheetView topLeftCell="A13" workbookViewId="0">
      <selection activeCell="K26" sqref="K26"/>
    </sheetView>
  </sheetViews>
  <sheetFormatPr defaultColWidth="0" defaultRowHeight="14.5" zeroHeight="1" x14ac:dyDescent="0.35"/>
  <cols>
    <col min="1" max="1" width="7" style="1" customWidth="1"/>
    <col min="2" max="2" width="6.1796875" style="1" customWidth="1"/>
    <col min="3" max="3" width="7" style="1" customWidth="1"/>
    <col min="4" max="4" width="6.7265625" style="1" customWidth="1"/>
    <col min="5" max="13" width="7" style="1" customWidth="1"/>
    <col min="14" max="14" width="2.1796875" style="1" hidden="1" customWidth="1"/>
    <col min="15" max="16384" width="11.453125" style="1" hidden="1"/>
  </cols>
  <sheetData>
    <row r="1" spans="1:13" s="3" customFormat="1" x14ac:dyDescent="0.35">
      <c r="A1" s="22"/>
    </row>
    <row r="2" spans="1:13" s="3" customFormat="1" x14ac:dyDescent="0.35">
      <c r="A2" s="24" t="s">
        <v>41</v>
      </c>
      <c r="B2" s="23"/>
    </row>
    <row r="3" spans="1:13" s="3" customFormat="1" x14ac:dyDescent="0.35">
      <c r="A3" s="22"/>
    </row>
    <row r="4" spans="1:13" s="3" customFormat="1" x14ac:dyDescent="0.35">
      <c r="A4" s="29" t="s">
        <v>31</v>
      </c>
    </row>
    <row r="5" spans="1:13" s="3" customFormat="1" ht="6" customHeight="1" x14ac:dyDescent="0.3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x14ac:dyDescent="0.35">
      <c r="A6" s="13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4"/>
    </row>
    <row r="7" spans="1:13" x14ac:dyDescent="0.35">
      <c r="A7" s="13" t="s">
        <v>53</v>
      </c>
      <c r="B7" s="8"/>
      <c r="C7" s="8"/>
      <c r="D7" s="8"/>
      <c r="E7" s="8"/>
      <c r="F7" s="9" t="s">
        <v>43</v>
      </c>
      <c r="G7" s="9"/>
      <c r="H7" s="9"/>
      <c r="I7" s="8"/>
      <c r="J7" s="8"/>
      <c r="K7" s="8"/>
      <c r="L7" s="30"/>
      <c r="M7" s="14"/>
    </row>
    <row r="8" spans="1:13" x14ac:dyDescent="0.35">
      <c r="A8" s="204" t="str">
        <f>"Temp. entrée ["&amp;IF(cal!$U$3=1,"°C",IF(cal!$U$3=2,"°F"))&amp;"]"</f>
        <v>Temp. entrée [°C]</v>
      </c>
      <c r="B8" s="205"/>
      <c r="C8" s="205"/>
      <c r="D8" s="115">
        <f>cal!E8</f>
        <v>75</v>
      </c>
      <c r="E8" s="103"/>
      <c r="F8" s="205" t="str">
        <f>"Temp. entrée ["&amp;IF(cal!$U$3=1,"°C",IF(cal!$U$3=2,"°F"))&amp;"]"</f>
        <v>Temp. entrée [°C]</v>
      </c>
      <c r="G8" s="205"/>
      <c r="H8" s="205"/>
      <c r="I8" s="205"/>
      <c r="J8" s="115">
        <f>cal!K8</f>
        <v>7.9999999999999991</v>
      </c>
      <c r="K8" s="8"/>
      <c r="L8" s="8"/>
      <c r="M8" s="14"/>
    </row>
    <row r="9" spans="1:13" x14ac:dyDescent="0.35">
      <c r="A9" s="204" t="str">
        <f>"Temp. retour ["&amp;IF(cal!$U$3=1,"°C",IF(cal!$U$3=2,"°F"))&amp;"]"</f>
        <v>Temp. retour [°C]</v>
      </c>
      <c r="B9" s="205"/>
      <c r="C9" s="205"/>
      <c r="D9" s="115">
        <f>cal!E9</f>
        <v>65</v>
      </c>
      <c r="E9" s="103"/>
      <c r="F9" s="205" t="str">
        <f>"Temp. retour ["&amp;IF(cal!$U$3=1,"°C",IF(cal!$U$3=2,"°F"))&amp;"]"</f>
        <v>Temp. retour [°C]</v>
      </c>
      <c r="G9" s="205"/>
      <c r="H9" s="205"/>
      <c r="I9" s="205"/>
      <c r="J9" s="115">
        <f>cal!K9</f>
        <v>12</v>
      </c>
      <c r="K9" s="8"/>
      <c r="L9" s="8"/>
      <c r="M9" s="14"/>
    </row>
    <row r="10" spans="1:13" x14ac:dyDescent="0.35">
      <c r="A10" s="204" t="str">
        <f>"Temp. ambiante ["&amp;IF(cal!$U$3=1,"°C",IF(cal!$U$3=2,"°F"))&amp;"]"</f>
        <v>Temp. ambiante [°C]</v>
      </c>
      <c r="B10" s="205"/>
      <c r="C10" s="205"/>
      <c r="D10" s="115">
        <f>cal!E10</f>
        <v>20</v>
      </c>
      <c r="E10" s="103"/>
      <c r="F10" s="205" t="str">
        <f>"Temp. ambiante ["&amp;IF(cal!$U$3=1,"°C",IF(cal!$U$3=2,"°F"))&amp;"]"</f>
        <v>Temp. ambiante [°C]</v>
      </c>
      <c r="G10" s="205"/>
      <c r="H10" s="205"/>
      <c r="I10" s="205"/>
      <c r="J10" s="115">
        <f>cal!K10</f>
        <v>25</v>
      </c>
      <c r="K10" s="8"/>
      <c r="L10" s="8"/>
      <c r="M10" s="14"/>
    </row>
    <row r="11" spans="1:13" x14ac:dyDescent="0.35">
      <c r="A11" s="15"/>
      <c r="B11" s="8"/>
      <c r="C11" s="8"/>
      <c r="D11" s="8"/>
      <c r="E11" s="8"/>
      <c r="F11" s="8" t="s">
        <v>54</v>
      </c>
      <c r="G11" s="8"/>
      <c r="H11" s="8"/>
      <c r="I11" s="8"/>
      <c r="J11" s="67">
        <f>cal!K11</f>
        <v>0.5</v>
      </c>
      <c r="K11" s="8"/>
      <c r="L11" s="8"/>
      <c r="M11" s="14"/>
    </row>
    <row r="12" spans="1:13" ht="6" customHeight="1" x14ac:dyDescent="0.35">
      <c r="A12" s="16"/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9"/>
    </row>
    <row r="13" spans="1:13" x14ac:dyDescent="0.3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2" customFormat="1" ht="95.5" customHeight="1" x14ac:dyDescent="0.35">
      <c r="A14" s="27" t="s">
        <v>32</v>
      </c>
      <c r="B14" s="20" t="s">
        <v>42</v>
      </c>
      <c r="C14" s="27" t="str">
        <f>CONCATENATE("Puissance de cha. * ",ROUND(D8,0),"/",ROUND(D9,0),"/",ROUND(D10,0)," ["&amp;IF(cal!$U$3=1,"W",IF(cal!$U$3=2,"Btu/h"))&amp;"]")</f>
        <v>Puissance de cha. * 75/65/20 [W]</v>
      </c>
      <c r="D14" s="31" t="str">
        <f>"Débit d'eau, chauffer ["&amp;IF(cal!$U$3=1,"l/h",IF(cal!$U$3=2,"GPM"))&amp;"]"</f>
        <v>Débit d'eau, chauffer [l/h]</v>
      </c>
      <c r="E14" s="34" t="str">
        <f>"Perte de charge ["&amp;IF(cal!$U$3=1,"kPa",IF(cal!$U$3=2,"inH2O"))&amp;"]"</f>
        <v>Perte de charge [kPa]</v>
      </c>
      <c r="F14" s="20" t="str">
        <f>CONCATENATE("Puissance sens. de refr. * ",ROUND(J8,0),"/",ROUND(J9,0),"/",ROUND(J10,0)," ["&amp;IF(cal!$U$3=1,"W",IF(cal!$U$3=2,"Btu/h"))&amp;"]")</f>
        <v>Puissance sens. de refr. * 8/12/25 [W]</v>
      </c>
      <c r="G14" s="20" t="str">
        <f>CONCATENATE("Puissance tot. de refr. ",ROUND(J8,0),"/",ROUND(J9,0),"/",ROUND(J10,0)," ["&amp;IF(cal!$U$3=1,"W",IF(cal!$U$3=2,"Btu/h"))&amp;"]")</f>
        <v>Puissance tot. de refr. 8/12/25 [W]</v>
      </c>
      <c r="H14" s="20" t="str">
        <f>"Débit d'eau, refroidir ["&amp;IF(cal!$U$3=1,"l/h",IF(cal!$U$3=2,"GPM"))&amp;"]"</f>
        <v>Débit d'eau, refroidir [l/h]</v>
      </c>
      <c r="I14" s="21" t="str">
        <f>"Perte de charge ["&amp;IF(cal!$U$3=1,"kPa",IF(cal!$U$3=2,"inH2O"))&amp;"]"</f>
        <v>Perte de charge [kPa]</v>
      </c>
      <c r="J14" s="27" t="s">
        <v>44</v>
      </c>
      <c r="K14" s="33" t="s">
        <v>46</v>
      </c>
      <c r="L14" s="20" t="s">
        <v>45</v>
      </c>
      <c r="M14" s="26" t="str">
        <f>"Débit d'air ["&amp;IF(cal!$U$3=1,"m³/h",IF(cal!$U$3=2,"CFM"))&amp;"]"</f>
        <v>Débit d'air [m³/h]</v>
      </c>
    </row>
    <row r="15" spans="1:13" ht="18" customHeight="1" x14ac:dyDescent="0.35">
      <c r="A15" s="201" t="str">
        <f>"Clima Canal Hauteur "&amp;ROUND(cal!V21,1)&amp;IF(cal!$U$3=1," cm",IF(cal!$U$3=2," in"))&amp; " Largeur "&amp;ROUND(cal!X21,1)&amp;IF(cal!$U$3=1," cm",IF(cal!$U$3=2," in"))&amp;" Longueur "&amp;ROUND(cal!Z21,1)&amp;IF(cal!$U$3=1," cm",IF(cal!$U$3=2," in"))&amp;" (Type 1)"</f>
        <v>Clima Canal Hauteur 10 cm Largeur 18 cm Longueur 72 cm (Type 1)</v>
      </c>
      <c r="B15" s="202"/>
      <c r="C15" s="201"/>
      <c r="D15" s="203"/>
      <c r="E15" s="202"/>
      <c r="F15" s="202"/>
      <c r="G15" s="202"/>
      <c r="H15" s="202"/>
      <c r="I15" s="202"/>
      <c r="J15" s="201"/>
      <c r="K15" s="202"/>
      <c r="L15" s="202"/>
      <c r="M15" s="203"/>
    </row>
    <row r="16" spans="1:13" x14ac:dyDescent="0.35">
      <c r="A16" s="35"/>
      <c r="B16" s="4"/>
      <c r="C16" s="28"/>
      <c r="D16" s="5"/>
      <c r="E16" s="32"/>
      <c r="F16" s="5"/>
      <c r="G16" s="5"/>
      <c r="H16" s="5"/>
      <c r="I16" s="6"/>
      <c r="J16" s="28"/>
      <c r="K16" s="44"/>
      <c r="L16" s="48"/>
      <c r="M16" s="36"/>
    </row>
    <row r="17" spans="1:13" x14ac:dyDescent="0.35">
      <c r="A17" s="35"/>
      <c r="B17" s="4"/>
      <c r="C17" s="28"/>
      <c r="D17" s="5"/>
      <c r="E17" s="32"/>
      <c r="F17" s="5"/>
      <c r="G17" s="5"/>
      <c r="H17" s="5"/>
      <c r="I17" s="6"/>
      <c r="J17" s="28"/>
      <c r="K17" s="44"/>
      <c r="L17" s="48"/>
      <c r="M17" s="36"/>
    </row>
    <row r="18" spans="1:13" x14ac:dyDescent="0.35">
      <c r="A18" s="35"/>
      <c r="B18" s="4"/>
      <c r="C18" s="28"/>
      <c r="D18" s="5"/>
      <c r="E18" s="32"/>
      <c r="F18" s="5"/>
      <c r="G18" s="5"/>
      <c r="H18" s="5"/>
      <c r="I18" s="6"/>
      <c r="J18" s="28"/>
      <c r="K18" s="44"/>
      <c r="L18" s="48"/>
      <c r="M18" s="36"/>
    </row>
    <row r="19" spans="1:13" x14ac:dyDescent="0.35">
      <c r="A19" s="35"/>
      <c r="B19" s="4"/>
      <c r="C19" s="28"/>
      <c r="D19" s="5"/>
      <c r="E19" s="32"/>
      <c r="F19" s="5"/>
      <c r="G19" s="5"/>
      <c r="H19" s="5"/>
      <c r="I19" s="6"/>
      <c r="J19" s="28"/>
      <c r="K19" s="44"/>
      <c r="L19" s="48"/>
      <c r="M19" s="36"/>
    </row>
    <row r="20" spans="1:13" x14ac:dyDescent="0.35">
      <c r="A20" s="35"/>
      <c r="B20" s="4"/>
      <c r="C20" s="28"/>
      <c r="D20" s="5"/>
      <c r="E20" s="32"/>
      <c r="F20" s="5"/>
      <c r="G20" s="5"/>
      <c r="H20" s="5"/>
      <c r="I20" s="6"/>
      <c r="J20" s="28"/>
      <c r="K20" s="44"/>
      <c r="L20" s="48"/>
      <c r="M20" s="36"/>
    </row>
    <row r="21" spans="1:13" ht="16.899999999999999" customHeight="1" x14ac:dyDescent="0.35">
      <c r="A21" s="201" t="str">
        <f>"Clima Canal Hauteur "&amp;ROUND(cal!V27,1)&amp;IF(cal!$U$3=1," cm",IF(cal!$U$3=2," in"))&amp; " Largeur "&amp;ROUND(cal!X27,1)&amp;IF(cal!$U$3=1," cm",IF(cal!$U$3=2," in"))&amp;" Longueur "&amp;ROUND(cal!Z27,1)&amp;IF(cal!$U$3=1," cm",IF(cal!$U$3=2," in"))&amp;" (Type 2)"</f>
        <v>Clima Canal Hauteur 10 cm Largeur 18 cm Longueur 108 cm (Type 2)</v>
      </c>
      <c r="B21" s="202"/>
      <c r="C21" s="201"/>
      <c r="D21" s="203"/>
      <c r="E21" s="202"/>
      <c r="F21" s="202"/>
      <c r="G21" s="202"/>
      <c r="H21" s="202"/>
      <c r="I21" s="202"/>
      <c r="J21" s="201"/>
      <c r="K21" s="202"/>
      <c r="L21" s="202"/>
      <c r="M21" s="203"/>
    </row>
    <row r="22" spans="1:13" x14ac:dyDescent="0.35">
      <c r="A22" s="35"/>
      <c r="B22" s="4"/>
      <c r="C22" s="28"/>
      <c r="D22" s="5"/>
      <c r="E22" s="32"/>
      <c r="F22" s="5"/>
      <c r="G22" s="5"/>
      <c r="H22" s="5"/>
      <c r="I22" s="6"/>
      <c r="J22" s="28"/>
      <c r="K22" s="44"/>
      <c r="L22" s="48"/>
      <c r="M22" s="36"/>
    </row>
    <row r="23" spans="1:13" x14ac:dyDescent="0.35">
      <c r="A23" s="35"/>
      <c r="B23" s="4"/>
      <c r="C23" s="28"/>
      <c r="D23" s="5"/>
      <c r="E23" s="32"/>
      <c r="F23" s="5"/>
      <c r="G23" s="5"/>
      <c r="H23" s="5"/>
      <c r="I23" s="6"/>
      <c r="J23" s="28"/>
      <c r="K23" s="44"/>
      <c r="L23" s="48"/>
      <c r="M23" s="36"/>
    </row>
    <row r="24" spans="1:13" x14ac:dyDescent="0.35">
      <c r="A24" s="35"/>
      <c r="B24" s="4"/>
      <c r="C24" s="28"/>
      <c r="D24" s="5"/>
      <c r="E24" s="32"/>
      <c r="F24" s="5"/>
      <c r="G24" s="5"/>
      <c r="H24" s="5"/>
      <c r="I24" s="6"/>
      <c r="J24" s="28"/>
      <c r="K24" s="44"/>
      <c r="L24" s="48"/>
      <c r="M24" s="36"/>
    </row>
    <row r="25" spans="1:13" x14ac:dyDescent="0.35">
      <c r="A25" s="35"/>
      <c r="B25" s="4"/>
      <c r="C25" s="28"/>
      <c r="D25" s="5"/>
      <c r="E25" s="32"/>
      <c r="F25" s="5"/>
      <c r="G25" s="5"/>
      <c r="H25" s="5"/>
      <c r="I25" s="6"/>
      <c r="J25" s="28"/>
      <c r="K25" s="44"/>
      <c r="L25" s="48"/>
      <c r="M25" s="36"/>
    </row>
    <row r="26" spans="1:13" x14ac:dyDescent="0.35">
      <c r="A26" s="35"/>
      <c r="B26" s="4"/>
      <c r="C26" s="28"/>
      <c r="D26" s="5"/>
      <c r="E26" s="32"/>
      <c r="F26" s="5"/>
      <c r="G26" s="5"/>
      <c r="H26" s="5"/>
      <c r="I26" s="6"/>
      <c r="J26" s="28"/>
      <c r="K26" s="44"/>
      <c r="L26" s="48"/>
      <c r="M26" s="36"/>
    </row>
    <row r="27" spans="1:13" ht="18" customHeight="1" x14ac:dyDescent="0.35">
      <c r="A27" s="201" t="str">
        <f>"Clima Canal Hauteur "&amp;ROUND(cal!V33,1)&amp;IF(cal!$U$3=1," cm",IF(cal!$U$3=2," in"))&amp; " Largeur "&amp;ROUND(cal!X33,1)&amp;IF(cal!$U$3=1," cm",IF(cal!$U$3=2," in"))&amp;" Longueur "&amp;ROUND(cal!Z33,1)&amp;IF(cal!$U$3=1," cm",IF(cal!$U$3=2," in"))&amp;" (Type 3)"</f>
        <v>Clima Canal Hauteur 10 cm Largeur 18 cm Longueur 144 cm (Type 3)</v>
      </c>
      <c r="B27" s="202"/>
      <c r="C27" s="201"/>
      <c r="D27" s="203"/>
      <c r="E27" s="202"/>
      <c r="F27" s="202"/>
      <c r="G27" s="202"/>
      <c r="H27" s="202"/>
      <c r="I27" s="202"/>
      <c r="J27" s="201"/>
      <c r="K27" s="202"/>
      <c r="L27" s="202"/>
      <c r="M27" s="203"/>
    </row>
    <row r="28" spans="1:13" x14ac:dyDescent="0.35">
      <c r="A28" s="35"/>
      <c r="B28" s="4"/>
      <c r="C28" s="28"/>
      <c r="D28" s="5"/>
      <c r="E28" s="32"/>
      <c r="F28" s="5"/>
      <c r="G28" s="5"/>
      <c r="H28" s="5"/>
      <c r="I28" s="6"/>
      <c r="J28" s="28"/>
      <c r="K28" s="44"/>
      <c r="L28" s="48"/>
      <c r="M28" s="36"/>
    </row>
    <row r="29" spans="1:13" x14ac:dyDescent="0.35">
      <c r="A29" s="35"/>
      <c r="B29" s="4"/>
      <c r="C29" s="28"/>
      <c r="D29" s="5"/>
      <c r="E29" s="32"/>
      <c r="F29" s="5"/>
      <c r="G29" s="5"/>
      <c r="H29" s="5"/>
      <c r="I29" s="6"/>
      <c r="J29" s="28"/>
      <c r="K29" s="44"/>
      <c r="L29" s="48"/>
      <c r="M29" s="36"/>
    </row>
    <row r="30" spans="1:13" x14ac:dyDescent="0.35">
      <c r="A30" s="35"/>
      <c r="B30" s="4"/>
      <c r="C30" s="28"/>
      <c r="D30" s="5"/>
      <c r="E30" s="32"/>
      <c r="F30" s="5"/>
      <c r="G30" s="5"/>
      <c r="H30" s="5"/>
      <c r="I30" s="6"/>
      <c r="J30" s="28"/>
      <c r="K30" s="44"/>
      <c r="L30" s="48"/>
      <c r="M30" s="36"/>
    </row>
    <row r="31" spans="1:13" x14ac:dyDescent="0.35">
      <c r="A31" s="35"/>
      <c r="B31" s="4"/>
      <c r="C31" s="28"/>
      <c r="D31" s="5"/>
      <c r="E31" s="32"/>
      <c r="F31" s="5"/>
      <c r="G31" s="5"/>
      <c r="H31" s="5"/>
      <c r="I31" s="6"/>
      <c r="J31" s="28"/>
      <c r="K31" s="44"/>
      <c r="L31" s="48"/>
      <c r="M31" s="36"/>
    </row>
    <row r="32" spans="1:13" x14ac:dyDescent="0.35">
      <c r="A32" s="35"/>
      <c r="B32" s="4"/>
      <c r="C32" s="28"/>
      <c r="D32" s="5"/>
      <c r="E32" s="32"/>
      <c r="F32" s="5"/>
      <c r="G32" s="5"/>
      <c r="H32" s="5"/>
      <c r="I32" s="6"/>
      <c r="J32" s="28"/>
      <c r="K32" s="44"/>
      <c r="L32" s="48"/>
      <c r="M32" s="36"/>
    </row>
    <row r="33" spans="1:13" ht="16.899999999999999" customHeight="1" x14ac:dyDescent="0.35">
      <c r="A33" s="201" t="str">
        <f>"Clima Canal Hauteur "&amp;ROUND(cal!V39,1)&amp;IF(cal!$U$3=1," cm",IF(cal!$U$3=2," in"))&amp; " Largeur "&amp;ROUND(cal!X39,1)&amp;IF(cal!$U$3=1," cm",IF(cal!$U$3=2," in"))&amp;" Longueur "&amp;ROUND(cal!Z39,1)&amp;IF(cal!$U$3=1," cm",IF(cal!$U$3=2," in"))&amp;" (Type 4)"</f>
        <v>Clima Canal Hauteur 10 cm Largeur 18 cm Longueur 180 cm (Type 4)</v>
      </c>
      <c r="B33" s="202"/>
      <c r="C33" s="201"/>
      <c r="D33" s="203"/>
      <c r="E33" s="202"/>
      <c r="F33" s="202"/>
      <c r="G33" s="202"/>
      <c r="H33" s="202"/>
      <c r="I33" s="202"/>
      <c r="J33" s="201"/>
      <c r="K33" s="202"/>
      <c r="L33" s="202"/>
      <c r="M33" s="203"/>
    </row>
    <row r="34" spans="1:13" x14ac:dyDescent="0.35">
      <c r="A34" s="35"/>
      <c r="B34" s="4"/>
      <c r="C34" s="28"/>
      <c r="D34" s="5"/>
      <c r="E34" s="32"/>
      <c r="F34" s="5"/>
      <c r="G34" s="5"/>
      <c r="H34" s="5"/>
      <c r="I34" s="6"/>
      <c r="J34" s="28"/>
      <c r="K34" s="44"/>
      <c r="L34" s="48"/>
      <c r="M34" s="36"/>
    </row>
    <row r="35" spans="1:13" x14ac:dyDescent="0.35">
      <c r="A35" s="35"/>
      <c r="B35" s="4"/>
      <c r="C35" s="28"/>
      <c r="D35" s="5"/>
      <c r="E35" s="32"/>
      <c r="F35" s="5"/>
      <c r="G35" s="5"/>
      <c r="H35" s="5"/>
      <c r="I35" s="6"/>
      <c r="J35" s="28"/>
      <c r="K35" s="44"/>
      <c r="L35" s="48"/>
      <c r="M35" s="36"/>
    </row>
    <row r="36" spans="1:13" x14ac:dyDescent="0.35">
      <c r="A36" s="35"/>
      <c r="B36" s="4"/>
      <c r="C36" s="28"/>
      <c r="D36" s="5"/>
      <c r="E36" s="32"/>
      <c r="F36" s="5"/>
      <c r="G36" s="5"/>
      <c r="H36" s="5"/>
      <c r="I36" s="6"/>
      <c r="J36" s="28"/>
      <c r="K36" s="44"/>
      <c r="L36" s="48"/>
      <c r="M36" s="36"/>
    </row>
    <row r="37" spans="1:13" x14ac:dyDescent="0.35">
      <c r="A37" s="35"/>
      <c r="B37" s="4"/>
      <c r="C37" s="28"/>
      <c r="D37" s="5"/>
      <c r="E37" s="32"/>
      <c r="F37" s="5"/>
      <c r="G37" s="5"/>
      <c r="H37" s="5"/>
      <c r="I37" s="6"/>
      <c r="J37" s="28"/>
      <c r="K37" s="44"/>
      <c r="L37" s="48"/>
      <c r="M37" s="36"/>
    </row>
    <row r="38" spans="1:13" x14ac:dyDescent="0.35">
      <c r="A38" s="37"/>
      <c r="B38" s="38"/>
      <c r="C38" s="39"/>
      <c r="D38" s="40"/>
      <c r="E38" s="41"/>
      <c r="F38" s="40"/>
      <c r="G38" s="40"/>
      <c r="H38" s="40"/>
      <c r="I38" s="42"/>
      <c r="J38" s="39"/>
      <c r="K38" s="45"/>
      <c r="L38" s="48"/>
      <c r="M38" s="43"/>
    </row>
    <row r="39" spans="1:13" ht="9.4" customHeight="1" x14ac:dyDescent="0.35">
      <c r="A39" s="7" t="s">
        <v>67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49"/>
      <c r="M39" s="47" t="str">
        <f>cal!N39</f>
        <v>v29-01-2018</v>
      </c>
    </row>
    <row r="40" spans="1:13" ht="9.4" customHeight="1" x14ac:dyDescent="0.35">
      <c r="A40" s="7" t="s">
        <v>47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9.4" customHeight="1" x14ac:dyDescent="0.35">
      <c r="A41" s="7" t="s">
        <v>48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s="3" customFormat="1" ht="16.149999999999999" hidden="1" customHeight="1" x14ac:dyDescent="0.35"/>
    <row r="43" spans="1:13" x14ac:dyDescent="0.35"/>
    <row r="44" spans="1:13" x14ac:dyDescent="0.35"/>
    <row r="45" spans="1:13" x14ac:dyDescent="0.35"/>
    <row r="46" spans="1:13" x14ac:dyDescent="0.35"/>
    <row r="47" spans="1:13" x14ac:dyDescent="0.35"/>
    <row r="48" spans="1:13" x14ac:dyDescent="0.35"/>
  </sheetData>
  <sheetProtection algorithmName="SHA-512" hashValue="LGyDZ6pcV4Nglj4XplAf/Wjxi8EepZKZTlFUtSUuQGkkghpMkgiKUE0RiIf80SQLjcNxmfuu3U40VXPQ7MhU7g==" saltValue="eh9dtOZuv4YGLLySkpnl/Q==" spinCount="100000" sheet="1" selectLockedCells="1"/>
  <mergeCells count="10">
    <mergeCell ref="A15:M15"/>
    <mergeCell ref="A21:M21"/>
    <mergeCell ref="A27:M27"/>
    <mergeCell ref="A33:M33"/>
    <mergeCell ref="A8:C8"/>
    <mergeCell ref="F8:I8"/>
    <mergeCell ref="A9:C9"/>
    <mergeCell ref="F9:I9"/>
    <mergeCell ref="A10:C10"/>
    <mergeCell ref="F10:I10"/>
  </mergeCells>
  <dataValidations count="7">
    <dataValidation type="whole" errorStyle="information" allowBlank="1" showErrorMessage="1" error="Eingabe außerhalb des gültigen Bereichs." prompt="20°C bis 35°C" sqref="J10" xr:uid="{00000000-0002-0000-0500-000000000000}">
      <formula1>20</formula1>
      <formula2>35</formula2>
    </dataValidation>
    <dataValidation type="whole" errorStyle="information" allowBlank="1" showErrorMessage="1" error="Eingabe außerhalb des gültigen Bereichs." prompt="Eingabe zwischen 16°C bis 30°C" sqref="D10" xr:uid="{00000000-0002-0000-0500-000001000000}">
      <formula1>16</formula1>
      <formula2>30</formula2>
    </dataValidation>
    <dataValidation type="whole" errorStyle="information" allowBlank="1" showErrorMessage="1" error="Eingabe außerhalb des gültigen Bereichs." prompt="Eingabe zwischen Vorlauftemp. und Raumtemp." sqref="D9" xr:uid="{00000000-0002-0000-0500-000002000000}">
      <formula1>D10</formula1>
      <formula2>D8</formula2>
    </dataValidation>
    <dataValidation type="whole" errorStyle="information" allowBlank="1" showErrorMessage="1" error="Temperatur außerhalb des gütligen Bereichs." prompt="Eingabe zwischen 30°C bis 95°C" sqref="D8" xr:uid="{00000000-0002-0000-0500-000003000000}">
      <formula1>30</formula1>
      <formula2>95</formula2>
    </dataValidation>
    <dataValidation type="whole" errorStyle="information" allowBlank="1" showErrorMessage="1" error="Eingabe außerhalb des gültigen Bereichs." prompt="Eingabe zwischen Vorlauftemp. und Raumtemp." sqref="J9" xr:uid="{00000000-0002-0000-0500-000004000000}">
      <formula1>J8</formula1>
      <formula2>J10</formula2>
    </dataValidation>
    <dataValidation type="whole" errorStyle="information" allowBlank="1" showErrorMessage="1" error="Eingabe außerhalb des gültigen Bereichs." prompt="Eingabe zwischen 5°C bis 20°C" sqref="J8" xr:uid="{00000000-0002-0000-0500-000005000000}">
      <formula1>5</formula1>
      <formula2>20</formula2>
    </dataValidation>
    <dataValidation type="decimal" errorStyle="information" allowBlank="1" showErrorMessage="1" error="Eingabe außerhalb des gültigen Bereichs." prompt="20°C bis 35°C" sqref="J11" xr:uid="{00000000-0002-0000-0500-000006000000}">
      <formula1>0.01</formula1>
      <formula2>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Clima Canal</vt:lpstr>
      <vt:lpstr>cal</vt:lpstr>
      <vt:lpstr>NL</vt:lpstr>
      <vt:lpstr>EN</vt:lpstr>
      <vt:lpstr>DE</vt:lpstr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Thomas</dc:creator>
  <cp:lastModifiedBy>Knut</cp:lastModifiedBy>
  <cp:lastPrinted>2018-01-29T08:54:50Z</cp:lastPrinted>
  <dcterms:created xsi:type="dcterms:W3CDTF">2016-04-18T12:28:50Z</dcterms:created>
  <dcterms:modified xsi:type="dcterms:W3CDTF">2020-06-16T12:00:02Z</dcterms:modified>
</cp:coreProperties>
</file>